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wner\Google Drive\"/>
    </mc:Choice>
  </mc:AlternateContent>
  <workbookProtection workbookAlgorithmName="SHA-512" workbookHashValue="jBFRjY8KNzx3v7Ohr3c2SYvKgVya330yszcgDV8c3DSXNFojAk3tc4Chor0UULASCwUgzuOnFwskv/0i1jXLGw==" workbookSaltValue="rzN3WSpYyfD26qUzc344OQ==" workbookSpinCount="100000" lockStructure="1"/>
  <bookViews>
    <workbookView xWindow="0" yWindow="0" windowWidth="20325" windowHeight="9735" activeTab="3"/>
  </bookViews>
  <sheets>
    <sheet name="N52126" sheetId="2" r:id="rId1"/>
    <sheet name="N711DA" sheetId="3" r:id="rId2"/>
    <sheet name="N931SJ" sheetId="7" r:id="rId3"/>
    <sheet name="N405JH" sheetId="8" r:id="rId4"/>
    <sheet name="Info" sheetId="9" r:id="rId5"/>
  </sheets>
  <definedNames>
    <definedName name="_xlnm.Print_Area" localSheetId="0">'N52126'!$A$1:$J$40</definedName>
    <definedName name="_xlnm.Print_Area" localSheetId="1">N711DA!$A$1:$J$40</definedName>
  </definedNames>
  <calcPr calcId="152511"/>
</workbook>
</file>

<file path=xl/calcChain.xml><?xml version="1.0" encoding="utf-8"?>
<calcChain xmlns="http://schemas.openxmlformats.org/spreadsheetml/2006/main">
  <c r="H4" i="8" l="1"/>
  <c r="F5" i="8"/>
  <c r="J5" i="8" s="1"/>
  <c r="F6" i="8"/>
  <c r="J6" i="8" s="1"/>
  <c r="F7" i="8"/>
  <c r="J7" i="8" s="1"/>
  <c r="F8" i="8"/>
  <c r="J8" i="8" s="1"/>
  <c r="F9" i="8"/>
  <c r="J9" i="8" s="1"/>
  <c r="F10" i="8"/>
  <c r="J10" i="8" s="1"/>
  <c r="F11" i="8"/>
  <c r="J11" i="8" s="1"/>
  <c r="T21" i="8"/>
  <c r="F4" i="8"/>
  <c r="M4" i="8" s="1"/>
  <c r="N4" i="8"/>
  <c r="B14" i="8"/>
  <c r="T20" i="8"/>
  <c r="B16" i="8"/>
  <c r="F17" i="8"/>
  <c r="F8" i="2"/>
  <c r="F4" i="2"/>
  <c r="M4" i="2"/>
  <c r="M3" i="2" s="1"/>
  <c r="F5" i="2"/>
  <c r="F6" i="2"/>
  <c r="F7" i="2"/>
  <c r="J7" i="2" s="1"/>
  <c r="F9" i="2"/>
  <c r="F10" i="2"/>
  <c r="F11" i="2"/>
  <c r="F17" i="2"/>
  <c r="B14" i="2"/>
  <c r="N4" i="2"/>
  <c r="L4" i="2" s="1"/>
  <c r="L3" i="2" s="1"/>
  <c r="H4" i="2"/>
  <c r="B16" i="2"/>
  <c r="F4" i="3"/>
  <c r="M4" i="3"/>
  <c r="F5" i="3"/>
  <c r="F6" i="3"/>
  <c r="F7" i="3"/>
  <c r="F8" i="3"/>
  <c r="F9" i="3"/>
  <c r="F10" i="3"/>
  <c r="F11" i="3"/>
  <c r="J11" i="3" s="1"/>
  <c r="F17" i="3"/>
  <c r="J10" i="3"/>
  <c r="J9" i="3"/>
  <c r="J8" i="3"/>
  <c r="J7" i="3"/>
  <c r="J6" i="3"/>
  <c r="J5" i="3"/>
  <c r="N4" i="3"/>
  <c r="N5" i="3" s="1"/>
  <c r="B14" i="3"/>
  <c r="H4" i="3"/>
  <c r="B16" i="3"/>
  <c r="F4" i="7"/>
  <c r="J4" i="7" s="1"/>
  <c r="N4" i="7" s="1"/>
  <c r="F5" i="7"/>
  <c r="J5" i="7" s="1"/>
  <c r="F6" i="7"/>
  <c r="J6" i="7" s="1"/>
  <c r="F7" i="7"/>
  <c r="J7" i="7" s="1"/>
  <c r="F8" i="7"/>
  <c r="J8" i="7" s="1"/>
  <c r="F9" i="7"/>
  <c r="J9" i="7" s="1"/>
  <c r="F10" i="7"/>
  <c r="J10" i="7" s="1"/>
  <c r="F11" i="7"/>
  <c r="J11" i="7" s="1"/>
  <c r="T20" i="7"/>
  <c r="F17" i="7"/>
  <c r="B16" i="7"/>
  <c r="B14" i="7"/>
  <c r="L4" i="8" l="1"/>
  <c r="L3" i="8" s="1"/>
  <c r="M3" i="8"/>
  <c r="L4" i="7"/>
  <c r="L3" i="7" s="1"/>
  <c r="M4" i="7"/>
  <c r="M3" i="7" s="1"/>
  <c r="L4" i="3"/>
  <c r="L3" i="3" s="1"/>
  <c r="M5" i="3"/>
  <c r="M5" i="2"/>
  <c r="M6" i="2" s="1"/>
  <c r="J5" i="2"/>
  <c r="N5" i="2" s="1"/>
  <c r="M5" i="7"/>
  <c r="M6" i="7" s="1"/>
  <c r="M7" i="7" s="1"/>
  <c r="M8" i="7" s="1"/>
  <c r="M9" i="7" s="1"/>
  <c r="M10" i="7" s="1"/>
  <c r="M11" i="7" s="1"/>
  <c r="J6" i="2"/>
  <c r="N6" i="2" s="1"/>
  <c r="N7" i="2" s="1"/>
  <c r="F12" i="7"/>
  <c r="F18" i="7" s="1"/>
  <c r="N5" i="7"/>
  <c r="N6" i="7" s="1"/>
  <c r="J12" i="3"/>
  <c r="N6" i="3"/>
  <c r="M6" i="3"/>
  <c r="M7" i="3" s="1"/>
  <c r="M8" i="3" s="1"/>
  <c r="M9" i="3" s="1"/>
  <c r="M10" i="3" s="1"/>
  <c r="M11" i="3" s="1"/>
  <c r="F12" i="3" s="1"/>
  <c r="F18" i="3" s="1"/>
  <c r="L5" i="3"/>
  <c r="J12" i="7"/>
  <c r="M5" i="8"/>
  <c r="M6" i="8" s="1"/>
  <c r="M7" i="8" s="1"/>
  <c r="M8" i="8" s="1"/>
  <c r="M9" i="8" s="1"/>
  <c r="M10" i="8" s="1"/>
  <c r="M11" i="8" s="1"/>
  <c r="F12" i="8"/>
  <c r="N7" i="3"/>
  <c r="N5" i="8"/>
  <c r="J12" i="8"/>
  <c r="J10" i="2"/>
  <c r="J11" i="2"/>
  <c r="J8" i="2"/>
  <c r="J9" i="2"/>
  <c r="L6" i="2" l="1"/>
  <c r="M7" i="2"/>
  <c r="M8" i="2" s="1"/>
  <c r="M9" i="2" s="1"/>
  <c r="M10" i="2" s="1"/>
  <c r="M11" i="2" s="1"/>
  <c r="L5" i="7"/>
  <c r="L5" i="8"/>
  <c r="L5" i="2"/>
  <c r="L6" i="3"/>
  <c r="H12" i="7"/>
  <c r="M23" i="7" s="1"/>
  <c r="F19" i="7"/>
  <c r="H12" i="3"/>
  <c r="B13" i="3"/>
  <c r="L7" i="2"/>
  <c r="B13" i="7"/>
  <c r="M24" i="7"/>
  <c r="B13" i="8"/>
  <c r="F18" i="8"/>
  <c r="H12" i="8"/>
  <c r="M24" i="8" s="1"/>
  <c r="J12" i="2"/>
  <c r="N8" i="2"/>
  <c r="L8" i="2" s="1"/>
  <c r="L7" i="3"/>
  <c r="N8" i="3"/>
  <c r="N7" i="7"/>
  <c r="L6" i="7"/>
  <c r="N6" i="8"/>
  <c r="F12" i="2"/>
  <c r="N9" i="2" l="1"/>
  <c r="L9" i="2" s="1"/>
  <c r="M22" i="7"/>
  <c r="M25" i="8"/>
  <c r="H12" i="2"/>
  <c r="M26" i="8"/>
  <c r="M23" i="8"/>
  <c r="B13" i="2"/>
  <c r="F18" i="2"/>
  <c r="N9" i="3"/>
  <c r="L8" i="3"/>
  <c r="N10" i="2"/>
  <c r="L6" i="8"/>
  <c r="N7" i="8"/>
  <c r="N8" i="7"/>
  <c r="L7" i="7"/>
  <c r="L8" i="7" l="1"/>
  <c r="N9" i="7"/>
  <c r="L9" i="3"/>
  <c r="N10" i="3"/>
  <c r="L7" i="8"/>
  <c r="N8" i="8"/>
  <c r="L10" i="2"/>
  <c r="N11" i="2"/>
  <c r="L11" i="2" s="1"/>
  <c r="L12" i="2" l="1"/>
  <c r="L13" i="2" s="1"/>
  <c r="M25" i="2" s="1"/>
  <c r="M23" i="2"/>
  <c r="M24" i="2"/>
  <c r="L8" i="8"/>
  <c r="N9" i="8"/>
  <c r="N11" i="3"/>
  <c r="L11" i="3" s="1"/>
  <c r="L10" i="3"/>
  <c r="N10" i="7"/>
  <c r="L9" i="7"/>
  <c r="L10" i="7" l="1"/>
  <c r="N11" i="7"/>
  <c r="L11" i="7" s="1"/>
  <c r="L12" i="7" s="1"/>
  <c r="L13" i="7" s="1"/>
  <c r="L12" i="3"/>
  <c r="L13" i="3" s="1"/>
  <c r="M24" i="3" s="1"/>
  <c r="M23" i="3"/>
  <c r="M25" i="3"/>
  <c r="L9" i="8"/>
  <c r="N10" i="8"/>
  <c r="B15" i="2"/>
  <c r="B15" i="3" l="1"/>
  <c r="B15" i="7"/>
  <c r="L10" i="8"/>
  <c r="N11" i="8"/>
  <c r="L11" i="8" s="1"/>
  <c r="L12" i="8" s="1"/>
  <c r="L13" i="8" s="1"/>
  <c r="B15" i="8" l="1"/>
</calcChain>
</file>

<file path=xl/sharedStrings.xml><?xml version="1.0" encoding="utf-8"?>
<sst xmlns="http://schemas.openxmlformats.org/spreadsheetml/2006/main" count="151" uniqueCount="46">
  <si>
    <t>Qty</t>
  </si>
  <si>
    <t>Weight</t>
  </si>
  <si>
    <t>Arm</t>
  </si>
  <si>
    <t>Moment</t>
  </si>
  <si>
    <t>Basic Empty Weight</t>
  </si>
  <si>
    <t>Pilot</t>
  </si>
  <si>
    <t>Co-Pilot</t>
  </si>
  <si>
    <t xml:space="preserve">Passengers Rear </t>
  </si>
  <si>
    <t>Baggage #1 (120 lb Max)</t>
  </si>
  <si>
    <t xml:space="preserve"> </t>
  </si>
  <si>
    <t>Baggage #2 (50 lb Max)</t>
  </si>
  <si>
    <t>= Maximum Gross Weight</t>
  </si>
  <si>
    <t>= Baggage Maximum</t>
  </si>
  <si>
    <t>= Fuel Max Gal, Min Gal.</t>
  </si>
  <si>
    <t>= CG, Wgt 1st point in envelope</t>
  </si>
  <si>
    <t>= CG, Wgt 2nd point in envelope</t>
  </si>
  <si>
    <t>= CG, Wgt 3rd point in envelope</t>
  </si>
  <si>
    <t>= CG, Wgt 4th point in envelope</t>
  </si>
  <si>
    <t>= Aft C.G.</t>
  </si>
  <si>
    <t>= C.G. too far fwd</t>
  </si>
  <si>
    <t>= C.G. fwd of 2nd segment</t>
  </si>
  <si>
    <t>= C.G. fwd of 3nd segment</t>
  </si>
  <si>
    <t>Cessna 172P - N52126</t>
  </si>
  <si>
    <t>Cessna 172N - N711DA</t>
  </si>
  <si>
    <t>= C.G. fwd of 3rd segment</t>
  </si>
  <si>
    <t>Fuel  Gal. (50 Max)</t>
  </si>
  <si>
    <t>Total (M.G.W.=2550 lbs)</t>
  </si>
  <si>
    <t>Maximum Gross Weight</t>
  </si>
  <si>
    <t>Note:  Enter all data in column D</t>
  </si>
  <si>
    <t>Useful Load Remaining</t>
  </si>
  <si>
    <t>NOT TO BE USED FOR LEGAL WEIGHT AND BALANCE CALCULATIONS</t>
  </si>
  <si>
    <t>W &amp; B Data as of 03/24/03</t>
  </si>
  <si>
    <t>Cessna 182S – N931SJ</t>
  </si>
  <si>
    <t>Baggage #A (120 lb Max)</t>
  </si>
  <si>
    <t>Baggage #B (80 lb Max)</t>
  </si>
  <si>
    <t>Fuel  Gal. (88 Max)</t>
  </si>
  <si>
    <t>Total (M.G.W.=3100 lbs)</t>
  </si>
  <si>
    <t>Maximum Landing Weight</t>
  </si>
  <si>
    <t>Excess landing weight at takeoff</t>
  </si>
  <si>
    <t>Slope</t>
  </si>
  <si>
    <t>W &amp; B Data as of 01/17/01</t>
  </si>
  <si>
    <t>Cessna R182 – N405JH</t>
  </si>
  <si>
    <t>= CG, Wgt 5th point in envelope</t>
  </si>
  <si>
    <t>Worksheet password is tssf</t>
  </si>
  <si>
    <t>The worksheet is password protected to prevent accidental alteration of data.</t>
  </si>
  <si>
    <t>W &amp; B Data as of 02/01/15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</si>
</sst>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0" x14ac:knownFonts="1">
    <font>
      <sz val="10"/>
      <name val="MS Sans Serif"/>
    </font>
    <font>
      <sz val="8"/>
      <name val="Arial"/>
      <family val="2"/>
    </font>
    <font>
      <sz val="8"/>
      <color indexed="18"/>
      <name val="Arial"/>
      <family val="2"/>
    </font>
    <font>
      <sz val="8"/>
      <color indexed="17"/>
      <name val="Arial"/>
      <family val="2"/>
    </font>
    <font>
      <sz val="8"/>
      <color indexed="14"/>
      <name val="Arial"/>
      <family val="2"/>
    </font>
    <font>
      <sz val="8"/>
      <color indexed="16"/>
      <name val="Arial"/>
      <family val="2"/>
    </font>
    <font>
      <sz val="8"/>
      <color indexed="11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b/>
      <sz val="18"/>
      <color indexed="18"/>
      <name val="Arial"/>
      <family val="2"/>
    </font>
    <font>
      <sz val="8"/>
      <color indexed="8"/>
      <name val="Arial"/>
      <family val="2"/>
    </font>
    <font>
      <sz val="8"/>
      <color indexed="32"/>
      <name val="Arial"/>
      <family val="2"/>
    </font>
    <font>
      <sz val="8"/>
      <color indexed="61"/>
      <name val="Arial"/>
      <family val="2"/>
    </font>
    <font>
      <sz val="8"/>
      <color indexed="50"/>
      <name val="Arial"/>
      <family val="2"/>
    </font>
    <font>
      <sz val="8"/>
      <color indexed="20"/>
      <name val="Arial"/>
      <family val="2"/>
    </font>
    <font>
      <sz val="8"/>
      <color indexed="37"/>
      <name val="Arial"/>
      <family val="2"/>
    </font>
    <font>
      <b/>
      <sz val="8"/>
      <color indexed="48"/>
      <name val="Arial"/>
      <family val="2"/>
    </font>
    <font>
      <b/>
      <sz val="8"/>
      <color indexed="17"/>
      <name val="Arial"/>
      <family val="2"/>
    </font>
    <font>
      <b/>
      <sz val="10"/>
      <color indexed="10"/>
      <name val="Arial"/>
      <family val="2"/>
    </font>
    <font>
      <sz val="8"/>
      <name val="Arial"/>
    </font>
    <font>
      <b/>
      <sz val="18"/>
      <color indexed="18"/>
      <name val="Arial"/>
    </font>
    <font>
      <b/>
      <sz val="8"/>
      <color indexed="10"/>
      <name val="Arial"/>
    </font>
    <font>
      <b/>
      <sz val="8"/>
      <name val="Arial"/>
    </font>
    <font>
      <sz val="8"/>
      <name val="Arial"/>
      <family val="5"/>
    </font>
    <font>
      <sz val="8"/>
      <name val="MS Sans Serif"/>
    </font>
    <font>
      <sz val="8"/>
      <color indexed="18"/>
      <name val="Arial"/>
    </font>
    <font>
      <sz val="8"/>
      <color indexed="8"/>
      <name val="Arial"/>
    </font>
    <font>
      <sz val="8"/>
      <color indexed="17"/>
      <name val="Arial"/>
    </font>
    <font>
      <sz val="8"/>
      <color indexed="25"/>
      <name val="Arial"/>
    </font>
    <font>
      <sz val="8"/>
      <color indexed="16"/>
      <name val="Arial"/>
    </font>
    <font>
      <sz val="8"/>
      <color indexed="14"/>
      <name val="Arial"/>
    </font>
    <font>
      <sz val="8"/>
      <color indexed="20"/>
      <name val="Arial"/>
    </font>
    <font>
      <sz val="8"/>
      <color indexed="57"/>
      <name val="Arial"/>
    </font>
    <font>
      <sz val="8"/>
      <color indexed="11"/>
      <name val="Arial"/>
    </font>
    <font>
      <b/>
      <sz val="8"/>
      <color indexed="48"/>
      <name val="Arial"/>
    </font>
    <font>
      <b/>
      <sz val="8"/>
      <color indexed="18"/>
      <name val="Arial"/>
      <charset val="1"/>
    </font>
    <font>
      <b/>
      <sz val="8"/>
      <color indexed="18"/>
      <name val="Arial"/>
    </font>
    <font>
      <b/>
      <sz val="8"/>
      <color indexed="17"/>
      <name val="Arial"/>
    </font>
    <font>
      <b/>
      <sz val="10"/>
      <color indexed="10"/>
      <name val="Arial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 applyAlignment="1" applyProtection="1">
      <alignment horizontal="center"/>
    </xf>
    <xf numFmtId="0" fontId="1" fillId="0" borderId="0" xfId="0" applyFont="1" applyProtection="1"/>
    <xf numFmtId="0" fontId="1" fillId="0" borderId="0" xfId="0" applyFont="1" applyAlignment="1" applyProtection="1">
      <alignment horizontal="right"/>
    </xf>
    <xf numFmtId="2" fontId="1" fillId="0" borderId="0" xfId="0" applyNumberFormat="1" applyFont="1" applyProtection="1"/>
    <xf numFmtId="3" fontId="1" fillId="0" borderId="0" xfId="0" applyNumberFormat="1" applyFont="1" applyProtection="1"/>
    <xf numFmtId="2" fontId="2" fillId="0" borderId="0" xfId="0" applyNumberFormat="1" applyFont="1" applyProtection="1"/>
    <xf numFmtId="2" fontId="3" fillId="0" borderId="0" xfId="0" applyNumberFormat="1" applyFont="1" applyProtection="1"/>
    <xf numFmtId="2" fontId="4" fillId="0" borderId="0" xfId="0" applyNumberFormat="1" applyFont="1" applyProtection="1"/>
    <xf numFmtId="2" fontId="5" fillId="0" borderId="0" xfId="0" applyNumberFormat="1" applyFont="1" applyProtection="1"/>
    <xf numFmtId="2" fontId="6" fillId="0" borderId="0" xfId="0" applyNumberFormat="1" applyFont="1" applyProtection="1"/>
    <xf numFmtId="0" fontId="1" fillId="0" borderId="1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1" fillId="0" borderId="1" xfId="0" applyFont="1" applyBorder="1" applyProtection="1"/>
    <xf numFmtId="3" fontId="1" fillId="0" borderId="1" xfId="0" applyNumberFormat="1" applyFont="1" applyBorder="1" applyProtection="1"/>
    <xf numFmtId="0" fontId="7" fillId="0" borderId="2" xfId="0" applyFont="1" applyBorder="1" applyAlignment="1" applyProtection="1">
      <alignment horizontal="right"/>
    </xf>
    <xf numFmtId="0" fontId="7" fillId="0" borderId="0" xfId="0" applyFont="1" applyAlignment="1" applyProtection="1">
      <alignment horizontal="right"/>
    </xf>
    <xf numFmtId="0" fontId="1" fillId="0" borderId="0" xfId="0" quotePrefix="1" applyFont="1" applyProtection="1"/>
    <xf numFmtId="1" fontId="1" fillId="0" borderId="0" xfId="0" applyNumberFormat="1" applyFont="1" applyProtection="1"/>
    <xf numFmtId="0" fontId="8" fillId="0" borderId="0" xfId="0" applyFont="1" applyProtection="1"/>
    <xf numFmtId="0" fontId="9" fillId="0" borderId="0" xfId="0" applyFont="1" applyAlignment="1" applyProtection="1">
      <alignment horizontal="center"/>
    </xf>
    <xf numFmtId="0" fontId="10" fillId="0" borderId="0" xfId="0" applyFont="1" applyProtection="1"/>
    <xf numFmtId="0" fontId="11" fillId="0" borderId="0" xfId="0" applyFont="1" applyProtection="1"/>
    <xf numFmtId="0" fontId="11" fillId="0" borderId="0" xfId="0" applyFont="1" applyProtection="1">
      <protection locked="0"/>
    </xf>
    <xf numFmtId="2" fontId="11" fillId="0" borderId="0" xfId="0" applyNumberFormat="1" applyFont="1" applyProtection="1"/>
    <xf numFmtId="3" fontId="11" fillId="0" borderId="0" xfId="0" applyNumberFormat="1" applyFont="1" applyProtection="1"/>
    <xf numFmtId="0" fontId="12" fillId="0" borderId="0" xfId="0" applyFont="1" applyProtection="1"/>
    <xf numFmtId="0" fontId="12" fillId="0" borderId="0" xfId="0" applyFont="1" applyProtection="1">
      <protection locked="0"/>
    </xf>
    <xf numFmtId="2" fontId="12" fillId="0" borderId="0" xfId="0" applyNumberFormat="1" applyFont="1" applyProtection="1"/>
    <xf numFmtId="3" fontId="12" fillId="0" borderId="0" xfId="0" applyNumberFormat="1" applyFont="1" applyProtection="1"/>
    <xf numFmtId="0" fontId="13" fillId="0" borderId="0" xfId="0" applyFont="1" applyProtection="1"/>
    <xf numFmtId="0" fontId="13" fillId="0" borderId="0" xfId="0" applyFont="1" applyProtection="1">
      <protection locked="0"/>
    </xf>
    <xf numFmtId="0" fontId="13" fillId="0" borderId="0" xfId="0" applyFont="1" applyBorder="1" applyProtection="1"/>
    <xf numFmtId="2" fontId="13" fillId="0" borderId="0" xfId="0" applyNumberFormat="1" applyFont="1" applyProtection="1"/>
    <xf numFmtId="3" fontId="13" fillId="0" borderId="0" xfId="0" applyNumberFormat="1" applyFont="1" applyProtection="1"/>
    <xf numFmtId="0" fontId="14" fillId="0" borderId="0" xfId="0" applyFont="1" applyProtection="1"/>
    <xf numFmtId="0" fontId="14" fillId="0" borderId="0" xfId="0" applyFont="1" applyProtection="1">
      <protection locked="0"/>
    </xf>
    <xf numFmtId="2" fontId="14" fillId="0" borderId="0" xfId="0" applyNumberFormat="1" applyFont="1" applyProtection="1"/>
    <xf numFmtId="3" fontId="14" fillId="0" borderId="0" xfId="0" applyNumberFormat="1" applyFont="1" applyProtection="1"/>
    <xf numFmtId="164" fontId="1" fillId="0" borderId="0" xfId="0" applyNumberFormat="1" applyFont="1" applyProtection="1"/>
    <xf numFmtId="164" fontId="11" fillId="0" borderId="0" xfId="0" applyNumberFormat="1" applyFont="1" applyProtection="1"/>
    <xf numFmtId="164" fontId="12" fillId="0" borderId="0" xfId="0" applyNumberFormat="1" applyFont="1" applyProtection="1"/>
    <xf numFmtId="164" fontId="14" fillId="0" borderId="0" xfId="0" applyNumberFormat="1" applyFont="1" applyProtection="1"/>
    <xf numFmtId="164" fontId="13" fillId="0" borderId="0" xfId="0" applyNumberFormat="1" applyFont="1" applyProtection="1"/>
    <xf numFmtId="164" fontId="1" fillId="0" borderId="1" xfId="0" applyNumberFormat="1" applyFont="1" applyBorder="1" applyProtection="1"/>
    <xf numFmtId="0" fontId="1" fillId="0" borderId="0" xfId="0" applyFont="1" applyBorder="1" applyProtection="1"/>
    <xf numFmtId="0" fontId="0" fillId="0" borderId="0" xfId="0" applyProtection="1"/>
    <xf numFmtId="0" fontId="15" fillId="0" borderId="0" xfId="0" applyFont="1" applyProtection="1">
      <protection locked="0"/>
    </xf>
    <xf numFmtId="0" fontId="15" fillId="0" borderId="0" xfId="0" applyFont="1" applyProtection="1"/>
    <xf numFmtId="164" fontId="15" fillId="0" borderId="0" xfId="0" applyNumberFormat="1" applyFont="1" applyProtection="1"/>
    <xf numFmtId="2" fontId="15" fillId="0" borderId="0" xfId="0" applyNumberFormat="1" applyFont="1" applyProtection="1"/>
    <xf numFmtId="3" fontId="15" fillId="0" borderId="0" xfId="0" applyNumberFormat="1" applyFont="1" applyProtection="1"/>
    <xf numFmtId="0" fontId="8" fillId="0" borderId="2" xfId="0" applyFont="1" applyBorder="1" applyProtection="1"/>
    <xf numFmtId="1" fontId="8" fillId="0" borderId="0" xfId="0" applyNumberFormat="1" applyFont="1" applyProtection="1"/>
    <xf numFmtId="0" fontId="16" fillId="0" borderId="0" xfId="0" applyFont="1" applyProtection="1"/>
    <xf numFmtId="0" fontId="17" fillId="0" borderId="0" xfId="0" applyFont="1" applyAlignment="1" applyProtection="1">
      <alignment horizontal="left"/>
    </xf>
    <xf numFmtId="164" fontId="7" fillId="0" borderId="0" xfId="0" applyNumberFormat="1" applyFont="1" applyProtection="1"/>
    <xf numFmtId="0" fontId="18" fillId="0" borderId="0" xfId="0" applyFont="1" applyProtection="1"/>
    <xf numFmtId="0" fontId="19" fillId="0" borderId="0" xfId="0" applyFont="1" applyAlignment="1" applyProtection="1">
      <alignment horizontal="center"/>
    </xf>
    <xf numFmtId="0" fontId="20" fillId="0" borderId="0" xfId="0" applyFont="1" applyAlignment="1" applyProtection="1">
      <alignment horizontal="center"/>
    </xf>
    <xf numFmtId="0" fontId="19" fillId="0" borderId="0" xfId="0" applyFont="1" applyProtection="1"/>
    <xf numFmtId="0" fontId="21" fillId="0" borderId="3" xfId="0" applyFont="1" applyBorder="1" applyProtection="1"/>
    <xf numFmtId="0" fontId="19" fillId="0" borderId="0" xfId="0" applyFont="1" applyBorder="1" applyProtection="1"/>
    <xf numFmtId="0" fontId="22" fillId="0" borderId="3" xfId="0" applyFont="1" applyBorder="1" applyAlignment="1" applyProtection="1">
      <alignment horizontal="right"/>
    </xf>
    <xf numFmtId="0" fontId="22" fillId="0" borderId="0" xfId="0" applyFont="1" applyAlignment="1" applyProtection="1">
      <alignment horizontal="right"/>
    </xf>
    <xf numFmtId="0" fontId="19" fillId="0" borderId="0" xfId="0" applyFont="1" applyAlignment="1" applyProtection="1">
      <alignment horizontal="right"/>
    </xf>
    <xf numFmtId="2" fontId="19" fillId="0" borderId="0" xfId="0" applyNumberFormat="1" applyFont="1" applyProtection="1"/>
    <xf numFmtId="0" fontId="23" fillId="0" borderId="0" xfId="0" applyFont="1" applyProtection="1"/>
    <xf numFmtId="164" fontId="19" fillId="0" borderId="0" xfId="0" applyNumberFormat="1" applyFont="1" applyProtection="1"/>
    <xf numFmtId="3" fontId="19" fillId="0" borderId="0" xfId="0" applyNumberFormat="1" applyFont="1" applyProtection="1"/>
    <xf numFmtId="0" fontId="24" fillId="0" borderId="0" xfId="0" applyFont="1" applyProtection="1"/>
    <xf numFmtId="0" fontId="25" fillId="0" borderId="0" xfId="0" applyFont="1" applyProtection="1"/>
    <xf numFmtId="0" fontId="26" fillId="0" borderId="0" xfId="0" applyFont="1" applyProtection="1"/>
    <xf numFmtId="0" fontId="25" fillId="0" borderId="0" xfId="0" applyFont="1" applyProtection="1">
      <protection locked="0"/>
    </xf>
    <xf numFmtId="164" fontId="25" fillId="0" borderId="0" xfId="0" applyNumberFormat="1" applyFont="1" applyProtection="1"/>
    <xf numFmtId="2" fontId="25" fillId="0" borderId="0" xfId="0" applyNumberFormat="1" applyFont="1" applyProtection="1"/>
    <xf numFmtId="3" fontId="25" fillId="0" borderId="0" xfId="0" applyNumberFormat="1" applyFont="1" applyProtection="1"/>
    <xf numFmtId="2" fontId="27" fillId="0" borderId="0" xfId="0" applyNumberFormat="1" applyFont="1" applyProtection="1"/>
    <xf numFmtId="0" fontId="28" fillId="0" borderId="0" xfId="0" applyFont="1" applyProtection="1"/>
    <xf numFmtId="0" fontId="29" fillId="0" borderId="0" xfId="0" applyFont="1" applyProtection="1">
      <protection locked="0"/>
    </xf>
    <xf numFmtId="0" fontId="29" fillId="0" borderId="0" xfId="0" applyFont="1" applyProtection="1"/>
    <xf numFmtId="164" fontId="29" fillId="0" borderId="0" xfId="0" applyNumberFormat="1" applyFont="1" applyProtection="1"/>
    <xf numFmtId="2" fontId="29" fillId="0" borderId="0" xfId="0" applyNumberFormat="1" applyFont="1" applyProtection="1"/>
    <xf numFmtId="3" fontId="29" fillId="0" borderId="0" xfId="0" applyNumberFormat="1" applyFont="1" applyProtection="1"/>
    <xf numFmtId="0" fontId="28" fillId="0" borderId="0" xfId="0" applyFont="1" applyProtection="1">
      <protection locked="0"/>
    </xf>
    <xf numFmtId="164" fontId="28" fillId="0" borderId="0" xfId="0" applyNumberFormat="1" applyFont="1" applyProtection="1"/>
    <xf numFmtId="2" fontId="28" fillId="0" borderId="0" xfId="0" applyNumberFormat="1" applyFont="1" applyProtection="1"/>
    <xf numFmtId="3" fontId="28" fillId="0" borderId="0" xfId="0" applyNumberFormat="1" applyFont="1" applyProtection="1"/>
    <xf numFmtId="2" fontId="30" fillId="0" borderId="0" xfId="0" applyNumberFormat="1" applyFont="1" applyProtection="1"/>
    <xf numFmtId="0" fontId="31" fillId="0" borderId="0" xfId="0" applyFont="1" applyProtection="1"/>
    <xf numFmtId="0" fontId="31" fillId="0" borderId="0" xfId="0" applyFont="1" applyProtection="1">
      <protection locked="0"/>
    </xf>
    <xf numFmtId="164" fontId="31" fillId="0" borderId="0" xfId="0" applyNumberFormat="1" applyFont="1" applyProtection="1"/>
    <xf numFmtId="2" fontId="31" fillId="0" borderId="0" xfId="0" applyNumberFormat="1" applyFont="1" applyProtection="1"/>
    <xf numFmtId="3" fontId="31" fillId="0" borderId="0" xfId="0" applyNumberFormat="1" applyFont="1" applyProtection="1"/>
    <xf numFmtId="0" fontId="32" fillId="0" borderId="0" xfId="0" applyFont="1" applyProtection="1"/>
    <xf numFmtId="0" fontId="32" fillId="0" borderId="0" xfId="0" applyFont="1" applyBorder="1" applyProtection="1"/>
    <xf numFmtId="0" fontId="32" fillId="0" borderId="0" xfId="0" applyFont="1" applyProtection="1">
      <protection locked="0"/>
    </xf>
    <xf numFmtId="164" fontId="32" fillId="0" borderId="0" xfId="0" applyNumberFormat="1" applyFont="1" applyProtection="1"/>
    <xf numFmtId="2" fontId="32" fillId="0" borderId="0" xfId="0" applyNumberFormat="1" applyFont="1" applyProtection="1"/>
    <xf numFmtId="3" fontId="32" fillId="0" borderId="0" xfId="0" applyNumberFormat="1" applyFont="1" applyProtection="1"/>
    <xf numFmtId="2" fontId="33" fillId="0" borderId="0" xfId="0" applyNumberFormat="1" applyFont="1" applyProtection="1"/>
    <xf numFmtId="0" fontId="19" fillId="0" borderId="4" xfId="0" applyFont="1" applyBorder="1" applyAlignment="1" applyProtection="1">
      <alignment horizontal="left"/>
    </xf>
    <xf numFmtId="0" fontId="19" fillId="0" borderId="0" xfId="0" applyFont="1" applyBorder="1" applyAlignment="1" applyProtection="1">
      <alignment horizontal="left"/>
    </xf>
    <xf numFmtId="0" fontId="19" fillId="0" borderId="4" xfId="0" applyFont="1" applyBorder="1" applyProtection="1"/>
    <xf numFmtId="164" fontId="19" fillId="0" borderId="4" xfId="0" applyNumberFormat="1" applyFont="1" applyBorder="1" applyProtection="1"/>
    <xf numFmtId="3" fontId="19" fillId="0" borderId="4" xfId="0" applyNumberFormat="1" applyFont="1" applyBorder="1" applyProtection="1"/>
    <xf numFmtId="0" fontId="21" fillId="0" borderId="0" xfId="0" applyFont="1" applyProtection="1"/>
    <xf numFmtId="1" fontId="19" fillId="0" borderId="0" xfId="0" applyNumberFormat="1" applyFont="1" applyProtection="1"/>
    <xf numFmtId="1" fontId="21" fillId="0" borderId="0" xfId="0" applyNumberFormat="1" applyFont="1" applyProtection="1"/>
    <xf numFmtId="0" fontId="34" fillId="0" borderId="0" xfId="0" applyFont="1" applyProtection="1"/>
    <xf numFmtId="164" fontId="22" fillId="0" borderId="0" xfId="0" applyNumberFormat="1" applyFont="1" applyProtection="1"/>
    <xf numFmtId="0" fontId="35" fillId="0" borderId="0" xfId="0" applyFont="1" applyProtection="1"/>
    <xf numFmtId="0" fontId="36" fillId="0" borderId="0" xfId="0" applyFont="1" applyProtection="1"/>
    <xf numFmtId="0" fontId="37" fillId="0" borderId="0" xfId="0" applyFont="1" applyAlignment="1" applyProtection="1">
      <alignment horizontal="left"/>
    </xf>
    <xf numFmtId="0" fontId="38" fillId="0" borderId="0" xfId="0" applyFont="1" applyProtection="1"/>
    <xf numFmtId="0" fontId="19" fillId="0" borderId="0" xfId="0" applyNumberFormat="1" applyFont="1" applyProtection="1"/>
    <xf numFmtId="0" fontId="19" fillId="0" borderId="0" xfId="0" quotePrefix="1" applyFont="1" applyProtection="1"/>
    <xf numFmtId="0" fontId="39" fillId="0" borderId="0" xfId="0" applyFont="1" applyProtection="1"/>
  </cellXfs>
  <cellStyles count="1">
    <cellStyle name="Normal" xfId="0" builtinId="0"/>
  </cellStyles>
  <dxfs count="8"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095294194240444"/>
          <c:y val="4.2424367969838929E-2"/>
          <c:w val="0.78095480206721868"/>
          <c:h val="0.73636581547649016"/>
        </c:manualLayout>
      </c:layout>
      <c:scatterChart>
        <c:scatterStyle val="lineMarker"/>
        <c:varyColors val="0"/>
        <c:ser>
          <c:idx val="0"/>
          <c:order val="0"/>
          <c:tx>
            <c:v>Envelope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strRef>
              <c:f>'N52126'!$O$4:$O$10</c:f>
              <c:strCache>
                <c:ptCount val="7"/>
                <c:pt idx="0">
                  <c:v>35</c:v>
                </c:pt>
                <c:pt idx="1">
                  <c:v>35</c:v>
                </c:pt>
                <c:pt idx="2">
                  <c:v>41</c:v>
                </c:pt>
                <c:pt idx="3">
                  <c:v>47.3</c:v>
                </c:pt>
                <c:pt idx="4">
                  <c:v>47.3</c:v>
                </c:pt>
                <c:pt idx="5">
                  <c:v> </c:v>
                </c:pt>
                <c:pt idx="6">
                  <c:v> </c:v>
                </c:pt>
              </c:strCache>
            </c:strRef>
          </c:xVal>
          <c:yVal>
            <c:numRef>
              <c:f>'N52126'!$P$4:$P$10</c:f>
              <c:numCache>
                <c:formatCode>General</c:formatCode>
                <c:ptCount val="7"/>
                <c:pt idx="0">
                  <c:v>1500</c:v>
                </c:pt>
                <c:pt idx="1">
                  <c:v>1950</c:v>
                </c:pt>
                <c:pt idx="2">
                  <c:v>2550</c:v>
                </c:pt>
                <c:pt idx="3">
                  <c:v>2550</c:v>
                </c:pt>
                <c:pt idx="4">
                  <c:v>1500</c:v>
                </c:pt>
                <c:pt idx="5">
                  <c:v>0</c:v>
                </c:pt>
                <c:pt idx="6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v>Fuel, Gear Retraction</c:v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'N52126'!$L$10:$L$14</c:f>
              <c:numCache>
                <c:formatCode>0.00</c:formatCode>
                <c:ptCount val="5"/>
                <c:pt idx="0">
                  <c:v>39.122426799641993</c:v>
                </c:pt>
                <c:pt idx="1">
                  <c:v>40.551067482029829</c:v>
                </c:pt>
                <c:pt idx="2">
                  <c:v>40.551067482029829</c:v>
                </c:pt>
                <c:pt idx="3">
                  <c:v>40.551067482029829</c:v>
                </c:pt>
              </c:numCache>
            </c:numRef>
          </c:xVal>
          <c:yVal>
            <c:numRef>
              <c:f>'N52126'!$M$10:$M$14</c:f>
              <c:numCache>
                <c:formatCode>General</c:formatCode>
                <c:ptCount val="5"/>
                <c:pt idx="0">
                  <c:v>1564.2</c:v>
                </c:pt>
                <c:pt idx="1">
                  <c:v>1864.2</c:v>
                </c:pt>
              </c:numCache>
            </c:numRef>
          </c:yVal>
          <c:smooth val="0"/>
        </c:ser>
        <c:ser>
          <c:idx val="2"/>
          <c:order val="2"/>
          <c:tx>
            <c:v>Basic Empty Weight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'N52126'!$L$3:$L$4</c:f>
              <c:numCache>
                <c:formatCode>0.00</c:formatCode>
                <c:ptCount val="2"/>
                <c:pt idx="0">
                  <c:v>39.122426799641993</c:v>
                </c:pt>
                <c:pt idx="1">
                  <c:v>39.122426799641993</c:v>
                </c:pt>
              </c:numCache>
            </c:numRef>
          </c:xVal>
          <c:yVal>
            <c:numRef>
              <c:f>'N52126'!$M$3:$M$4</c:f>
              <c:numCache>
                <c:formatCode>General</c:formatCode>
                <c:ptCount val="2"/>
                <c:pt idx="0" formatCode="0.00">
                  <c:v>1564.2</c:v>
                </c:pt>
                <c:pt idx="1">
                  <c:v>1564.2</c:v>
                </c:pt>
              </c:numCache>
            </c:numRef>
          </c:yVal>
          <c:smooth val="0"/>
        </c:ser>
        <c:ser>
          <c:idx val="3"/>
          <c:order val="3"/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'N52126'!$L$4:$L$5</c:f>
              <c:numCache>
                <c:formatCode>0.00</c:formatCode>
                <c:ptCount val="2"/>
                <c:pt idx="0">
                  <c:v>39.122426799641993</c:v>
                </c:pt>
                <c:pt idx="1">
                  <c:v>39.122426799641993</c:v>
                </c:pt>
              </c:numCache>
            </c:numRef>
          </c:xVal>
          <c:yVal>
            <c:numRef>
              <c:f>'N52126'!$M$4:$M$5</c:f>
              <c:numCache>
                <c:formatCode>General</c:formatCode>
                <c:ptCount val="2"/>
                <c:pt idx="0">
                  <c:v>1564.2</c:v>
                </c:pt>
                <c:pt idx="1">
                  <c:v>1564.2</c:v>
                </c:pt>
              </c:numCache>
            </c:numRef>
          </c:yVal>
          <c:smooth val="0"/>
        </c:ser>
        <c:ser>
          <c:idx val="4"/>
          <c:order val="4"/>
          <c:spPr>
            <a:ln w="254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'N52126'!$L$5:$L$7</c:f>
              <c:numCache>
                <c:formatCode>0.00</c:formatCode>
                <c:ptCount val="3"/>
                <c:pt idx="0">
                  <c:v>39.122426799641993</c:v>
                </c:pt>
                <c:pt idx="1">
                  <c:v>39.122426799641993</c:v>
                </c:pt>
                <c:pt idx="2">
                  <c:v>39.122426799641993</c:v>
                </c:pt>
              </c:numCache>
            </c:numRef>
          </c:xVal>
          <c:yVal>
            <c:numRef>
              <c:f>'N52126'!$M$5:$M$7</c:f>
              <c:numCache>
                <c:formatCode>General</c:formatCode>
                <c:ptCount val="3"/>
                <c:pt idx="0">
                  <c:v>1564.2</c:v>
                </c:pt>
                <c:pt idx="1">
                  <c:v>1564.2</c:v>
                </c:pt>
                <c:pt idx="2">
                  <c:v>1564.2</c:v>
                </c:pt>
              </c:numCache>
            </c:numRef>
          </c:yVal>
          <c:smooth val="0"/>
        </c:ser>
        <c:ser>
          <c:idx val="5"/>
          <c:order val="5"/>
          <c:spPr>
            <a:ln w="254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'N52126'!$L$7:$L$9</c:f>
              <c:numCache>
                <c:formatCode>0.00</c:formatCode>
                <c:ptCount val="3"/>
                <c:pt idx="0">
                  <c:v>39.122426799641993</c:v>
                </c:pt>
                <c:pt idx="1">
                  <c:v>39.122426799641993</c:v>
                </c:pt>
                <c:pt idx="2">
                  <c:v>39.122426799641993</c:v>
                </c:pt>
              </c:numCache>
            </c:numRef>
          </c:xVal>
          <c:yVal>
            <c:numRef>
              <c:f>'N52126'!$M$7:$M$9</c:f>
              <c:numCache>
                <c:formatCode>General</c:formatCode>
                <c:ptCount val="3"/>
                <c:pt idx="0">
                  <c:v>1564.2</c:v>
                </c:pt>
                <c:pt idx="1">
                  <c:v>1564.2</c:v>
                </c:pt>
                <c:pt idx="2">
                  <c:v>1564.2</c:v>
                </c:pt>
              </c:numCache>
            </c:numRef>
          </c:yVal>
          <c:smooth val="0"/>
        </c:ser>
        <c:ser>
          <c:idx val="6"/>
          <c:order val="6"/>
          <c:spPr>
            <a:ln w="25400">
              <a:solidFill>
                <a:srgbClr val="6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'N52126'!$L$9:$L$10</c:f>
              <c:numCache>
                <c:formatCode>0.00</c:formatCode>
                <c:ptCount val="2"/>
                <c:pt idx="0">
                  <c:v>39.122426799641993</c:v>
                </c:pt>
                <c:pt idx="1">
                  <c:v>39.122426799641993</c:v>
                </c:pt>
              </c:numCache>
            </c:numRef>
          </c:xVal>
          <c:yVal>
            <c:numRef>
              <c:f>'N52126'!$M$9:$M$10</c:f>
              <c:numCache>
                <c:formatCode>General</c:formatCode>
                <c:ptCount val="2"/>
                <c:pt idx="0">
                  <c:v>1564.2</c:v>
                </c:pt>
                <c:pt idx="1">
                  <c:v>1564.2</c:v>
                </c:pt>
              </c:numCache>
            </c:numRef>
          </c:yVal>
          <c:smooth val="0"/>
        </c:ser>
        <c:ser>
          <c:idx val="7"/>
          <c:order val="7"/>
          <c:spPr>
            <a:ln w="12700">
              <a:solidFill>
                <a:srgbClr val="FF0000"/>
              </a:solidFill>
              <a:prstDash val="lgDash"/>
            </a:ln>
          </c:spPr>
          <c:marker>
            <c:symbol val="none"/>
          </c:marker>
          <c:xVal>
            <c:strRef>
              <c:f>'N52126'!$O$12:$O$13</c:f>
              <c:strCache>
                <c:ptCount val="1"/>
                <c:pt idx="0">
                  <c:v> </c:v>
                </c:pt>
              </c:strCache>
            </c:strRef>
          </c:xVal>
          <c:yVal>
            <c:numRef>
              <c:f>'N52126'!$P$12:$P$13</c:f>
              <c:numCache>
                <c:formatCode>General</c:formatCode>
                <c:ptCount val="2"/>
                <c:pt idx="0">
                  <c:v>0</c:v>
                </c:pt>
              </c:numCache>
            </c:numRef>
          </c:yVal>
          <c:smooth val="0"/>
        </c:ser>
        <c:ser>
          <c:idx val="8"/>
          <c:order val="8"/>
          <c:tx>
            <c:v>envelope</c:v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'N52126'!$O$4:$O$8</c:f>
              <c:numCache>
                <c:formatCode>General</c:formatCode>
                <c:ptCount val="5"/>
                <c:pt idx="0">
                  <c:v>35</c:v>
                </c:pt>
                <c:pt idx="1">
                  <c:v>35</c:v>
                </c:pt>
                <c:pt idx="2">
                  <c:v>41</c:v>
                </c:pt>
                <c:pt idx="3">
                  <c:v>47.3</c:v>
                </c:pt>
                <c:pt idx="4">
                  <c:v>47.3</c:v>
                </c:pt>
              </c:numCache>
            </c:numRef>
          </c:xVal>
          <c:yVal>
            <c:numRef>
              <c:f>'N52126'!$P$4:$P$8</c:f>
              <c:numCache>
                <c:formatCode>General</c:formatCode>
                <c:ptCount val="5"/>
                <c:pt idx="0">
                  <c:v>1500</c:v>
                </c:pt>
                <c:pt idx="1">
                  <c:v>1950</c:v>
                </c:pt>
                <c:pt idx="2">
                  <c:v>2550</c:v>
                </c:pt>
                <c:pt idx="3">
                  <c:v>2550</c:v>
                </c:pt>
                <c:pt idx="4">
                  <c:v>1500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3664928"/>
        <c:axId val="323666888"/>
      </c:scatterChart>
      <c:valAx>
        <c:axId val="323664928"/>
        <c:scaling>
          <c:orientation val="minMax"/>
          <c:max val="48"/>
          <c:min val="34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US"/>
                  <a:t>C.G. Location (Inches Aft Datum)</a:t>
                </a:r>
              </a:p>
            </c:rich>
          </c:tx>
          <c:layout>
            <c:manualLayout>
              <c:xMode val="edge"/>
              <c:yMode val="edge"/>
              <c:x val="0.26666749338880652"/>
              <c:y val="0.851517671394624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n-US"/>
          </a:p>
        </c:txPr>
        <c:crossAx val="323666888"/>
        <c:crossesAt val="1200"/>
        <c:crossBetween val="midCat"/>
        <c:majorUnit val="1"/>
        <c:minorUnit val="1"/>
      </c:valAx>
      <c:valAx>
        <c:axId val="323666888"/>
        <c:scaling>
          <c:orientation val="minMax"/>
          <c:max val="2600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US"/>
                  <a:t>Aircraft Weight (lbs)</a:t>
                </a:r>
              </a:p>
            </c:rich>
          </c:tx>
          <c:layout>
            <c:manualLayout>
              <c:xMode val="edge"/>
              <c:yMode val="edge"/>
              <c:x val="1.5873065082667052E-2"/>
              <c:y val="0.230303711836268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n-US"/>
          </a:p>
        </c:txPr>
        <c:crossAx val="323664928"/>
        <c:crossesAt val="34"/>
        <c:crossBetween val="midCat"/>
        <c:majorUnit val="100"/>
        <c:minorUnit val="50"/>
      </c:valAx>
      <c:spPr>
        <a:noFill/>
        <a:ln w="25400">
          <a:noFill/>
        </a:ln>
      </c:spPr>
    </c:plotArea>
    <c:plotVisOnly val="0"/>
    <c:dispBlanksAs val="gap"/>
    <c:showDLblsOverMax val="0"/>
  </c:chart>
  <c:spPr>
    <a:blipFill dpi="0" rotWithShape="0">
      <a:blip xmlns:r="http://schemas.openxmlformats.org/officeDocument/2006/relationships" r:embed="rId1"/>
      <a:srcRect/>
      <a:tile tx="0" ty="0" sx="100000" sy="100000" flip="none" algn="tl"/>
    </a:blip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>
      <c:oddHeader>&amp;F</c:oddHeader>
      <c:oddFooter>Page &amp;P</c:oddFooter>
    </c:headerFooter>
    <c:pageMargins b="1" l="0.75000000000000022" r="0.75000000000000022" t="1" header="0.5" footer="0.5"/>
    <c:pageSetup orientation="portrait" horizontalDpi="-4" vertic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095294194240444"/>
          <c:y val="4.2424367969838929E-2"/>
          <c:w val="0.78095480206721868"/>
          <c:h val="0.73636581547649016"/>
        </c:manualLayout>
      </c:layout>
      <c:scatterChart>
        <c:scatterStyle val="lineMarker"/>
        <c:varyColors val="0"/>
        <c:ser>
          <c:idx val="0"/>
          <c:order val="0"/>
          <c:tx>
            <c:v>Envelope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strRef>
              <c:f>N711DA!$O$4:$O$10</c:f>
              <c:strCache>
                <c:ptCount val="7"/>
                <c:pt idx="0">
                  <c:v>35</c:v>
                </c:pt>
                <c:pt idx="1">
                  <c:v>35</c:v>
                </c:pt>
                <c:pt idx="2">
                  <c:v>41</c:v>
                </c:pt>
                <c:pt idx="3">
                  <c:v>47.3</c:v>
                </c:pt>
                <c:pt idx="4">
                  <c:v>47.3</c:v>
                </c:pt>
                <c:pt idx="5">
                  <c:v> </c:v>
                </c:pt>
                <c:pt idx="6">
                  <c:v> </c:v>
                </c:pt>
              </c:strCache>
            </c:strRef>
          </c:xVal>
          <c:yVal>
            <c:numRef>
              <c:f>N711DA!$P$4:$P$10</c:f>
              <c:numCache>
                <c:formatCode>General</c:formatCode>
                <c:ptCount val="7"/>
                <c:pt idx="0">
                  <c:v>1500</c:v>
                </c:pt>
                <c:pt idx="1">
                  <c:v>1950</c:v>
                </c:pt>
                <c:pt idx="2">
                  <c:v>2550</c:v>
                </c:pt>
                <c:pt idx="3">
                  <c:v>2550</c:v>
                </c:pt>
                <c:pt idx="4">
                  <c:v>1500</c:v>
                </c:pt>
                <c:pt idx="5">
                  <c:v>0</c:v>
                </c:pt>
                <c:pt idx="6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v>Fuel, Gear Retraction</c:v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N711DA!$L$10:$L$14</c:f>
              <c:numCache>
                <c:formatCode>0.00</c:formatCode>
                <c:ptCount val="5"/>
                <c:pt idx="0">
                  <c:v>42.832872594540923</c:v>
                </c:pt>
                <c:pt idx="1">
                  <c:v>43.698697468665522</c:v>
                </c:pt>
                <c:pt idx="2">
                  <c:v>43.698697468665522</c:v>
                </c:pt>
                <c:pt idx="3">
                  <c:v>43.698697468665522</c:v>
                </c:pt>
              </c:numCache>
            </c:numRef>
          </c:xVal>
          <c:yVal>
            <c:numRef>
              <c:f>N711DA!$M$10:$M$14</c:f>
              <c:numCache>
                <c:formatCode>General</c:formatCode>
                <c:ptCount val="5"/>
                <c:pt idx="0">
                  <c:v>1490.36</c:v>
                </c:pt>
                <c:pt idx="1">
                  <c:v>1790.36</c:v>
                </c:pt>
              </c:numCache>
            </c:numRef>
          </c:yVal>
          <c:smooth val="0"/>
        </c:ser>
        <c:ser>
          <c:idx val="2"/>
          <c:order val="2"/>
          <c:tx>
            <c:v>Basic Empty Weight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N711DA!$L$3:$L$4</c:f>
              <c:numCache>
                <c:formatCode>0.00</c:formatCode>
                <c:ptCount val="2"/>
                <c:pt idx="0">
                  <c:v>42.832872594540923</c:v>
                </c:pt>
                <c:pt idx="1">
                  <c:v>42.832872594540923</c:v>
                </c:pt>
              </c:numCache>
            </c:numRef>
          </c:xVal>
          <c:yVal>
            <c:numRef>
              <c:f>N711DA!$M$3:$M$4</c:f>
              <c:numCache>
                <c:formatCode>General</c:formatCode>
                <c:ptCount val="2"/>
                <c:pt idx="0" formatCode="0.00">
                  <c:v>1200</c:v>
                </c:pt>
                <c:pt idx="1">
                  <c:v>1490.36</c:v>
                </c:pt>
              </c:numCache>
            </c:numRef>
          </c:yVal>
          <c:smooth val="0"/>
        </c:ser>
        <c:ser>
          <c:idx val="3"/>
          <c:order val="3"/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N711DA!$L$4:$L$5</c:f>
              <c:numCache>
                <c:formatCode>0.00</c:formatCode>
                <c:ptCount val="2"/>
                <c:pt idx="0">
                  <c:v>42.832872594540923</c:v>
                </c:pt>
                <c:pt idx="1">
                  <c:v>42.832872594540923</c:v>
                </c:pt>
              </c:numCache>
            </c:numRef>
          </c:xVal>
          <c:yVal>
            <c:numRef>
              <c:f>N711DA!$M$4:$M$5</c:f>
              <c:numCache>
                <c:formatCode>General</c:formatCode>
                <c:ptCount val="2"/>
                <c:pt idx="0">
                  <c:v>1490.36</c:v>
                </c:pt>
                <c:pt idx="1">
                  <c:v>1490.36</c:v>
                </c:pt>
              </c:numCache>
            </c:numRef>
          </c:yVal>
          <c:smooth val="0"/>
        </c:ser>
        <c:ser>
          <c:idx val="4"/>
          <c:order val="4"/>
          <c:spPr>
            <a:ln w="254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N711DA!$L$5:$L$7</c:f>
              <c:numCache>
                <c:formatCode>0.00</c:formatCode>
                <c:ptCount val="3"/>
                <c:pt idx="0">
                  <c:v>42.832872594540923</c:v>
                </c:pt>
                <c:pt idx="1">
                  <c:v>42.832872594540923</c:v>
                </c:pt>
                <c:pt idx="2">
                  <c:v>42.832872594540923</c:v>
                </c:pt>
              </c:numCache>
            </c:numRef>
          </c:xVal>
          <c:yVal>
            <c:numRef>
              <c:f>N711DA!$M$5:$M$7</c:f>
              <c:numCache>
                <c:formatCode>General</c:formatCode>
                <c:ptCount val="3"/>
                <c:pt idx="0">
                  <c:v>1490.36</c:v>
                </c:pt>
                <c:pt idx="1">
                  <c:v>1490.36</c:v>
                </c:pt>
                <c:pt idx="2">
                  <c:v>1490.36</c:v>
                </c:pt>
              </c:numCache>
            </c:numRef>
          </c:yVal>
          <c:smooth val="0"/>
        </c:ser>
        <c:ser>
          <c:idx val="5"/>
          <c:order val="5"/>
          <c:spPr>
            <a:ln w="254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N711DA!$L$7:$L$9</c:f>
              <c:numCache>
                <c:formatCode>0.00</c:formatCode>
                <c:ptCount val="3"/>
                <c:pt idx="0">
                  <c:v>42.832872594540923</c:v>
                </c:pt>
                <c:pt idx="1">
                  <c:v>42.832872594540923</c:v>
                </c:pt>
                <c:pt idx="2">
                  <c:v>42.832872594540923</c:v>
                </c:pt>
              </c:numCache>
            </c:numRef>
          </c:xVal>
          <c:yVal>
            <c:numRef>
              <c:f>N711DA!$M$7:$M$9</c:f>
              <c:numCache>
                <c:formatCode>General</c:formatCode>
                <c:ptCount val="3"/>
                <c:pt idx="0">
                  <c:v>1490.36</c:v>
                </c:pt>
                <c:pt idx="1">
                  <c:v>1490.36</c:v>
                </c:pt>
                <c:pt idx="2">
                  <c:v>1490.36</c:v>
                </c:pt>
              </c:numCache>
            </c:numRef>
          </c:yVal>
          <c:smooth val="0"/>
        </c:ser>
        <c:ser>
          <c:idx val="6"/>
          <c:order val="6"/>
          <c:spPr>
            <a:ln w="25400">
              <a:solidFill>
                <a:srgbClr val="6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N711DA!$L$9:$L$10</c:f>
              <c:numCache>
                <c:formatCode>0.00</c:formatCode>
                <c:ptCount val="2"/>
                <c:pt idx="0">
                  <c:v>42.832872594540923</c:v>
                </c:pt>
                <c:pt idx="1">
                  <c:v>42.832872594540923</c:v>
                </c:pt>
              </c:numCache>
            </c:numRef>
          </c:xVal>
          <c:yVal>
            <c:numRef>
              <c:f>N711DA!$M$9:$M$10</c:f>
              <c:numCache>
                <c:formatCode>General</c:formatCode>
                <c:ptCount val="2"/>
                <c:pt idx="0">
                  <c:v>1490.36</c:v>
                </c:pt>
                <c:pt idx="1">
                  <c:v>1490.36</c:v>
                </c:pt>
              </c:numCache>
            </c:numRef>
          </c:yVal>
          <c:smooth val="0"/>
        </c:ser>
        <c:ser>
          <c:idx val="7"/>
          <c:order val="7"/>
          <c:spPr>
            <a:ln w="12700">
              <a:solidFill>
                <a:srgbClr val="FF0000"/>
              </a:solidFill>
              <a:prstDash val="lgDash"/>
            </a:ln>
          </c:spPr>
          <c:marker>
            <c:symbol val="none"/>
          </c:marker>
          <c:xVal>
            <c:strRef>
              <c:f>N711DA!$O$12:$O$13</c:f>
              <c:strCache>
                <c:ptCount val="1"/>
                <c:pt idx="0">
                  <c:v> </c:v>
                </c:pt>
              </c:strCache>
            </c:strRef>
          </c:xVal>
          <c:yVal>
            <c:numRef>
              <c:f>N711DA!$P$12:$P$13</c:f>
              <c:numCache>
                <c:formatCode>General</c:formatCode>
                <c:ptCount val="2"/>
                <c:pt idx="0">
                  <c:v>0</c:v>
                </c:pt>
              </c:numCache>
            </c:numRef>
          </c:yVal>
          <c:smooth val="0"/>
        </c:ser>
        <c:ser>
          <c:idx val="8"/>
          <c:order val="8"/>
          <c:tx>
            <c:v>envelope</c:v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N711DA!$O$4:$O$8</c:f>
              <c:numCache>
                <c:formatCode>General</c:formatCode>
                <c:ptCount val="5"/>
                <c:pt idx="0">
                  <c:v>35</c:v>
                </c:pt>
                <c:pt idx="1">
                  <c:v>35</c:v>
                </c:pt>
                <c:pt idx="2">
                  <c:v>41</c:v>
                </c:pt>
                <c:pt idx="3">
                  <c:v>47.3</c:v>
                </c:pt>
                <c:pt idx="4">
                  <c:v>47.3</c:v>
                </c:pt>
              </c:numCache>
            </c:numRef>
          </c:xVal>
          <c:yVal>
            <c:numRef>
              <c:f>N711DA!$P$4:$P$8</c:f>
              <c:numCache>
                <c:formatCode>General</c:formatCode>
                <c:ptCount val="5"/>
                <c:pt idx="0">
                  <c:v>1500</c:v>
                </c:pt>
                <c:pt idx="1">
                  <c:v>1950</c:v>
                </c:pt>
                <c:pt idx="2">
                  <c:v>2550</c:v>
                </c:pt>
                <c:pt idx="3">
                  <c:v>2550</c:v>
                </c:pt>
                <c:pt idx="4">
                  <c:v>1500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3666496"/>
        <c:axId val="323668456"/>
      </c:scatterChart>
      <c:valAx>
        <c:axId val="323666496"/>
        <c:scaling>
          <c:orientation val="minMax"/>
          <c:max val="48"/>
          <c:min val="34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US"/>
                  <a:t>C.G. Location (Inches Aft Datum)</a:t>
                </a:r>
              </a:p>
            </c:rich>
          </c:tx>
          <c:layout>
            <c:manualLayout>
              <c:xMode val="edge"/>
              <c:yMode val="edge"/>
              <c:x val="0.26666749338880652"/>
              <c:y val="0.851517671394624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n-US"/>
          </a:p>
        </c:txPr>
        <c:crossAx val="323668456"/>
        <c:crossesAt val="1200"/>
        <c:crossBetween val="midCat"/>
        <c:majorUnit val="1"/>
        <c:minorUnit val="1"/>
      </c:valAx>
      <c:valAx>
        <c:axId val="323668456"/>
        <c:scaling>
          <c:orientation val="minMax"/>
          <c:max val="2600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US"/>
                  <a:t>Aircraft Weight (lbs)</a:t>
                </a:r>
              </a:p>
            </c:rich>
          </c:tx>
          <c:layout>
            <c:manualLayout>
              <c:xMode val="edge"/>
              <c:yMode val="edge"/>
              <c:x val="1.5873065082667052E-2"/>
              <c:y val="0.230303711836268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n-US"/>
          </a:p>
        </c:txPr>
        <c:crossAx val="323666496"/>
        <c:crossesAt val="34"/>
        <c:crossBetween val="midCat"/>
        <c:majorUnit val="100"/>
        <c:minorUnit val="100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0000">
        <a:alpha val="32000"/>
      </a:srgbClr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>
      <c:oddHeader>&amp;F</c:oddHeader>
      <c:oddFooter>Page &amp;P</c:oddFooter>
    </c:headerFooter>
    <c:pageMargins b="1" l="0.75000000000000022" r="0.75000000000000022" t="1" header="0.5" footer="0.5"/>
    <c:pageSetup orientation="portrait" horizontalDpi="-4" vertic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038002555754543"/>
          <c:y val="4.1543086898250453E-2"/>
          <c:w val="0.78164677741603039"/>
          <c:h val="0.73887347411888349"/>
        </c:manualLayout>
      </c:layout>
      <c:scatterChart>
        <c:scatterStyle val="lineMarker"/>
        <c:varyColors val="0"/>
        <c:ser>
          <c:idx val="0"/>
          <c:order val="0"/>
          <c:tx>
            <c:v>Envelope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N931SJ!$O$4:$O$8</c:f>
              <c:numCache>
                <c:formatCode>General</c:formatCode>
                <c:ptCount val="5"/>
                <c:pt idx="0">
                  <c:v>33</c:v>
                </c:pt>
                <c:pt idx="1">
                  <c:v>33</c:v>
                </c:pt>
                <c:pt idx="2">
                  <c:v>40.9</c:v>
                </c:pt>
                <c:pt idx="3">
                  <c:v>46</c:v>
                </c:pt>
                <c:pt idx="4">
                  <c:v>46</c:v>
                </c:pt>
              </c:numCache>
            </c:numRef>
          </c:xVal>
          <c:yVal>
            <c:numRef>
              <c:f>N931SJ!$P$4:$P$8</c:f>
              <c:numCache>
                <c:formatCode>General</c:formatCode>
                <c:ptCount val="5"/>
                <c:pt idx="0">
                  <c:v>1800</c:v>
                </c:pt>
                <c:pt idx="1">
                  <c:v>2250</c:v>
                </c:pt>
                <c:pt idx="2">
                  <c:v>3100</c:v>
                </c:pt>
                <c:pt idx="3">
                  <c:v>3100</c:v>
                </c:pt>
                <c:pt idx="4">
                  <c:v>1800</c:v>
                </c:pt>
              </c:numCache>
            </c:numRef>
          </c:yVal>
          <c:smooth val="0"/>
        </c:ser>
        <c:ser>
          <c:idx val="2"/>
          <c:order val="1"/>
          <c:tx>
            <c:v>Basic Empty Weight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N931SJ!$L$3:$L$4</c:f>
              <c:numCache>
                <c:formatCode>0.00</c:formatCode>
                <c:ptCount val="2"/>
                <c:pt idx="0">
                  <c:v>36.899000000000001</c:v>
                </c:pt>
                <c:pt idx="1">
                  <c:v>36.899000000000001</c:v>
                </c:pt>
              </c:numCache>
            </c:numRef>
          </c:xVal>
          <c:yVal>
            <c:numRef>
              <c:f>N931SJ!$M$3:$M$4</c:f>
              <c:numCache>
                <c:formatCode>General</c:formatCode>
                <c:ptCount val="2"/>
                <c:pt idx="0" formatCode="0.00">
                  <c:v>1965.6</c:v>
                </c:pt>
                <c:pt idx="1">
                  <c:v>1965.6</c:v>
                </c:pt>
              </c:numCache>
            </c:numRef>
          </c:yVal>
          <c:smooth val="0"/>
        </c:ser>
        <c:ser>
          <c:idx val="3"/>
          <c:order val="2"/>
          <c:tx>
            <c:v>Series4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N931SJ!$L$4:$L$5</c:f>
              <c:numCache>
                <c:formatCode>0.00</c:formatCode>
                <c:ptCount val="2"/>
                <c:pt idx="0">
                  <c:v>36.899000000000001</c:v>
                </c:pt>
                <c:pt idx="1">
                  <c:v>36.899000000000001</c:v>
                </c:pt>
              </c:numCache>
            </c:numRef>
          </c:xVal>
          <c:yVal>
            <c:numRef>
              <c:f>N931SJ!$M$4:$M$5</c:f>
              <c:numCache>
                <c:formatCode>General</c:formatCode>
                <c:ptCount val="2"/>
                <c:pt idx="0">
                  <c:v>1965.6</c:v>
                </c:pt>
                <c:pt idx="1">
                  <c:v>1965.6</c:v>
                </c:pt>
              </c:numCache>
            </c:numRef>
          </c:yVal>
          <c:smooth val="0"/>
        </c:ser>
        <c:ser>
          <c:idx val="4"/>
          <c:order val="3"/>
          <c:tx>
            <c:v>Series5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N931SJ!$L$5:$L$6</c:f>
              <c:numCache>
                <c:formatCode>0.00</c:formatCode>
                <c:ptCount val="2"/>
                <c:pt idx="0">
                  <c:v>36.899000000000001</c:v>
                </c:pt>
                <c:pt idx="1">
                  <c:v>36.899000000000001</c:v>
                </c:pt>
              </c:numCache>
            </c:numRef>
          </c:xVal>
          <c:yVal>
            <c:numRef>
              <c:f>N931SJ!$M$5:$M$6</c:f>
              <c:numCache>
                <c:formatCode>General</c:formatCode>
                <c:ptCount val="2"/>
                <c:pt idx="0">
                  <c:v>1965.6</c:v>
                </c:pt>
                <c:pt idx="1">
                  <c:v>1965.6</c:v>
                </c:pt>
              </c:numCache>
            </c:numRef>
          </c:yVal>
          <c:smooth val="0"/>
        </c:ser>
        <c:ser>
          <c:idx val="6"/>
          <c:order val="4"/>
          <c:tx>
            <c:v>Series7</c:v>
          </c:tx>
          <c:spPr>
            <a:ln w="25400">
              <a:solidFill>
                <a:srgbClr val="6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N931SJ!$L$7:$L$8</c:f>
              <c:numCache>
                <c:formatCode>0.00</c:formatCode>
                <c:ptCount val="2"/>
                <c:pt idx="0">
                  <c:v>36.899000000000001</c:v>
                </c:pt>
                <c:pt idx="1">
                  <c:v>36.899000000000001</c:v>
                </c:pt>
              </c:numCache>
            </c:numRef>
          </c:xVal>
          <c:yVal>
            <c:numRef>
              <c:f>N931SJ!$M$7:$M$8</c:f>
              <c:numCache>
                <c:formatCode>General</c:formatCode>
                <c:ptCount val="2"/>
                <c:pt idx="0">
                  <c:v>1965.6</c:v>
                </c:pt>
                <c:pt idx="1">
                  <c:v>1965.6</c:v>
                </c:pt>
              </c:numCache>
            </c:numRef>
          </c:yVal>
          <c:smooth val="0"/>
        </c:ser>
        <c:ser>
          <c:idx val="7"/>
          <c:order val="5"/>
          <c:spPr>
            <a:ln w="25400">
              <a:solidFill>
                <a:srgbClr val="003300"/>
              </a:solidFill>
              <a:prstDash val="solid"/>
            </a:ln>
          </c:spPr>
          <c:marker>
            <c:symbol val="none"/>
          </c:marker>
          <c:xVal>
            <c:numRef>
              <c:f>N931SJ!$L$8:$L$9</c:f>
              <c:numCache>
                <c:formatCode>0.00</c:formatCode>
                <c:ptCount val="2"/>
                <c:pt idx="0">
                  <c:v>36.899000000000001</c:v>
                </c:pt>
                <c:pt idx="1">
                  <c:v>36.899000000000001</c:v>
                </c:pt>
              </c:numCache>
            </c:numRef>
          </c:xVal>
          <c:yVal>
            <c:numRef>
              <c:f>N931SJ!$M$8:$M$9</c:f>
              <c:numCache>
                <c:formatCode>General</c:formatCode>
                <c:ptCount val="2"/>
                <c:pt idx="0">
                  <c:v>1965.6</c:v>
                </c:pt>
                <c:pt idx="1">
                  <c:v>1965.6</c:v>
                </c:pt>
              </c:numCache>
            </c:numRef>
          </c:yVal>
          <c:smooth val="0"/>
        </c:ser>
        <c:ser>
          <c:idx val="1"/>
          <c:order val="6"/>
          <c:tx>
            <c:v>Series6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N931SJ!$L$6:$L$7</c:f>
              <c:numCache>
                <c:formatCode>0.00</c:formatCode>
                <c:ptCount val="2"/>
                <c:pt idx="0">
                  <c:v>36.899000000000001</c:v>
                </c:pt>
                <c:pt idx="1">
                  <c:v>36.899000000000001</c:v>
                </c:pt>
              </c:numCache>
            </c:numRef>
          </c:xVal>
          <c:yVal>
            <c:numRef>
              <c:f>N931SJ!$M$6:$M$7</c:f>
              <c:numCache>
                <c:formatCode>General</c:formatCode>
                <c:ptCount val="2"/>
                <c:pt idx="0">
                  <c:v>1965.6</c:v>
                </c:pt>
                <c:pt idx="1">
                  <c:v>1965.6</c:v>
                </c:pt>
              </c:numCache>
            </c:numRef>
          </c:yVal>
          <c:smooth val="0"/>
        </c:ser>
        <c:ser>
          <c:idx val="5"/>
          <c:order val="7"/>
          <c:tx>
            <c:v>Series9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N931SJ!$L$9:$L$10</c:f>
              <c:numCache>
                <c:formatCode>0.00</c:formatCode>
                <c:ptCount val="2"/>
                <c:pt idx="0">
                  <c:v>36.899000000000001</c:v>
                </c:pt>
                <c:pt idx="1">
                  <c:v>36.899000000000001</c:v>
                </c:pt>
              </c:numCache>
            </c:numRef>
          </c:xVal>
          <c:yVal>
            <c:numRef>
              <c:f>N931SJ!$M$9:$M$10</c:f>
              <c:numCache>
                <c:formatCode>General</c:formatCode>
                <c:ptCount val="2"/>
                <c:pt idx="0">
                  <c:v>1965.6</c:v>
                </c:pt>
                <c:pt idx="1">
                  <c:v>1965.6</c:v>
                </c:pt>
              </c:numCache>
            </c:numRef>
          </c:yVal>
          <c:smooth val="0"/>
        </c:ser>
        <c:ser>
          <c:idx val="8"/>
          <c:order val="8"/>
          <c:tx>
            <c:v>Series10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N931SJ!$L$10:$L$11</c:f>
              <c:numCache>
                <c:formatCode>0.00</c:formatCode>
                <c:ptCount val="2"/>
                <c:pt idx="0">
                  <c:v>36.899000000000001</c:v>
                </c:pt>
                <c:pt idx="1">
                  <c:v>38.931935514918194</c:v>
                </c:pt>
              </c:numCache>
            </c:numRef>
          </c:xVal>
          <c:yVal>
            <c:numRef>
              <c:f>N931SJ!$M$10:$M$11</c:f>
              <c:numCache>
                <c:formatCode>General</c:formatCode>
                <c:ptCount val="2"/>
                <c:pt idx="0">
                  <c:v>1965.6</c:v>
                </c:pt>
                <c:pt idx="1">
                  <c:v>2493.6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3661400"/>
        <c:axId val="323661792"/>
      </c:scatterChart>
      <c:valAx>
        <c:axId val="323661400"/>
        <c:scaling>
          <c:orientation val="minMax"/>
          <c:max val="47"/>
          <c:min val="32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US"/>
                  <a:t>C.G. Location (Inches Aft Datum)</a:t>
                </a:r>
              </a:p>
            </c:rich>
          </c:tx>
          <c:layout>
            <c:manualLayout>
              <c:xMode val="edge"/>
              <c:yMode val="edge"/>
              <c:x val="0.2658231955584881"/>
              <c:y val="0.851633281414134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n-US"/>
          </a:p>
        </c:txPr>
        <c:crossAx val="323661792"/>
        <c:crossesAt val="1200"/>
        <c:crossBetween val="midCat"/>
        <c:majorUnit val="1"/>
        <c:minorUnit val="1"/>
      </c:valAx>
      <c:valAx>
        <c:axId val="323661792"/>
        <c:scaling>
          <c:orientation val="minMax"/>
          <c:max val="3200"/>
          <c:min val="1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US"/>
                  <a:t>Aircraft Weight (lbs)</a:t>
                </a:r>
              </a:p>
            </c:rich>
          </c:tx>
          <c:layout>
            <c:manualLayout>
              <c:xMode val="edge"/>
              <c:yMode val="edge"/>
              <c:x val="1.5822809259433822E-2"/>
              <c:y val="0.234421704640127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n-US"/>
          </a:p>
        </c:txPr>
        <c:crossAx val="323661400"/>
        <c:crossesAt val="32"/>
        <c:crossBetween val="midCat"/>
        <c:majorUnit val="100"/>
        <c:minorUnit val="50"/>
      </c:valAx>
      <c:spPr>
        <a:noFill/>
        <a:ln w="25400">
          <a:noFill/>
        </a:ln>
      </c:spPr>
    </c:plotArea>
    <c:plotVisOnly val="0"/>
    <c:dispBlanksAs val="gap"/>
    <c:showDLblsOverMax val="0"/>
  </c:chart>
  <c:spPr>
    <a:blipFill dpi="0" rotWithShape="0">
      <a:blip xmlns:r="http://schemas.openxmlformats.org/officeDocument/2006/relationships" r:embed="rId1"/>
      <a:srcRect/>
      <a:tile tx="0" ty="0" sx="100000" sy="100000" flip="none" algn="tl"/>
    </a:blip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038002555754543"/>
          <c:y val="4.1543086898250453E-2"/>
          <c:w val="0.78164677741603039"/>
          <c:h val="0.73887347411888349"/>
        </c:manualLayout>
      </c:layout>
      <c:scatterChart>
        <c:scatterStyle val="lineMarker"/>
        <c:varyColors val="0"/>
        <c:ser>
          <c:idx val="0"/>
          <c:order val="0"/>
          <c:tx>
            <c:v>Envelope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N405JH!$O$4:$O$9</c:f>
              <c:numCache>
                <c:formatCode>General</c:formatCode>
                <c:ptCount val="6"/>
                <c:pt idx="0">
                  <c:v>33</c:v>
                </c:pt>
                <c:pt idx="1">
                  <c:v>33</c:v>
                </c:pt>
                <c:pt idx="2">
                  <c:v>35.5</c:v>
                </c:pt>
                <c:pt idx="3">
                  <c:v>40.9</c:v>
                </c:pt>
                <c:pt idx="4">
                  <c:v>46</c:v>
                </c:pt>
                <c:pt idx="5">
                  <c:v>46</c:v>
                </c:pt>
              </c:numCache>
            </c:numRef>
          </c:xVal>
          <c:yVal>
            <c:numRef>
              <c:f>N405JH!$P$4:$P$9</c:f>
              <c:numCache>
                <c:formatCode>General</c:formatCode>
                <c:ptCount val="6"/>
                <c:pt idx="0">
                  <c:v>1800</c:v>
                </c:pt>
                <c:pt idx="1">
                  <c:v>2260</c:v>
                </c:pt>
                <c:pt idx="2">
                  <c:v>2700</c:v>
                </c:pt>
                <c:pt idx="3">
                  <c:v>3100</c:v>
                </c:pt>
                <c:pt idx="4">
                  <c:v>3100</c:v>
                </c:pt>
                <c:pt idx="5">
                  <c:v>1800</c:v>
                </c:pt>
              </c:numCache>
            </c:numRef>
          </c:yVal>
          <c:smooth val="0"/>
        </c:ser>
        <c:ser>
          <c:idx val="2"/>
          <c:order val="1"/>
          <c:tx>
            <c:v>Basic Empty Weight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N405JH!$L$3:$L$4</c:f>
              <c:numCache>
                <c:formatCode>0.00</c:formatCode>
                <c:ptCount val="2"/>
                <c:pt idx="0">
                  <c:v>38.216227487163451</c:v>
                </c:pt>
                <c:pt idx="1">
                  <c:v>38.216227487163451</c:v>
                </c:pt>
              </c:numCache>
            </c:numRef>
          </c:xVal>
          <c:yVal>
            <c:numRef>
              <c:f>N405JH!$M$3:$M$4</c:f>
              <c:numCache>
                <c:formatCode>General</c:formatCode>
                <c:ptCount val="2"/>
                <c:pt idx="0" formatCode="0.00">
                  <c:v>1918.35</c:v>
                </c:pt>
                <c:pt idx="1">
                  <c:v>1918.35</c:v>
                </c:pt>
              </c:numCache>
            </c:numRef>
          </c:yVal>
          <c:smooth val="0"/>
        </c:ser>
        <c:ser>
          <c:idx val="3"/>
          <c:order val="2"/>
          <c:tx>
            <c:v>Series4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N405JH!$L$4:$L$5</c:f>
              <c:numCache>
                <c:formatCode>0.00</c:formatCode>
                <c:ptCount val="2"/>
                <c:pt idx="0">
                  <c:v>38.216227487163451</c:v>
                </c:pt>
                <c:pt idx="1">
                  <c:v>38.216227487163451</c:v>
                </c:pt>
              </c:numCache>
            </c:numRef>
          </c:xVal>
          <c:yVal>
            <c:numRef>
              <c:f>N405JH!$M$4:$M$5</c:f>
              <c:numCache>
                <c:formatCode>General</c:formatCode>
                <c:ptCount val="2"/>
                <c:pt idx="0">
                  <c:v>1918.35</c:v>
                </c:pt>
                <c:pt idx="1">
                  <c:v>1918.35</c:v>
                </c:pt>
              </c:numCache>
            </c:numRef>
          </c:yVal>
          <c:smooth val="0"/>
        </c:ser>
        <c:ser>
          <c:idx val="4"/>
          <c:order val="3"/>
          <c:tx>
            <c:v>Series5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N405JH!$L$5:$L$6</c:f>
              <c:numCache>
                <c:formatCode>0.00</c:formatCode>
                <c:ptCount val="2"/>
                <c:pt idx="0">
                  <c:v>38.216227487163451</c:v>
                </c:pt>
                <c:pt idx="1">
                  <c:v>38.216227487163451</c:v>
                </c:pt>
              </c:numCache>
            </c:numRef>
          </c:xVal>
          <c:yVal>
            <c:numRef>
              <c:f>N405JH!$M$5:$M$6</c:f>
              <c:numCache>
                <c:formatCode>General</c:formatCode>
                <c:ptCount val="2"/>
                <c:pt idx="0">
                  <c:v>1918.35</c:v>
                </c:pt>
                <c:pt idx="1">
                  <c:v>1918.35</c:v>
                </c:pt>
              </c:numCache>
            </c:numRef>
          </c:yVal>
          <c:smooth val="0"/>
        </c:ser>
        <c:ser>
          <c:idx val="6"/>
          <c:order val="4"/>
          <c:tx>
            <c:v>Series7</c:v>
          </c:tx>
          <c:spPr>
            <a:ln w="25400">
              <a:solidFill>
                <a:srgbClr val="6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N405JH!$L$7:$L$8</c:f>
              <c:numCache>
                <c:formatCode>0.00</c:formatCode>
                <c:ptCount val="2"/>
                <c:pt idx="0">
                  <c:v>38.216227487163451</c:v>
                </c:pt>
                <c:pt idx="1">
                  <c:v>38.216227487163451</c:v>
                </c:pt>
              </c:numCache>
            </c:numRef>
          </c:xVal>
          <c:yVal>
            <c:numRef>
              <c:f>N405JH!$M$7:$M$8</c:f>
              <c:numCache>
                <c:formatCode>General</c:formatCode>
                <c:ptCount val="2"/>
                <c:pt idx="0">
                  <c:v>1918.35</c:v>
                </c:pt>
                <c:pt idx="1">
                  <c:v>1918.35</c:v>
                </c:pt>
              </c:numCache>
            </c:numRef>
          </c:yVal>
          <c:smooth val="0"/>
        </c:ser>
        <c:ser>
          <c:idx val="7"/>
          <c:order val="5"/>
          <c:spPr>
            <a:ln w="25400">
              <a:solidFill>
                <a:srgbClr val="003300"/>
              </a:solidFill>
              <a:prstDash val="solid"/>
            </a:ln>
          </c:spPr>
          <c:marker>
            <c:symbol val="none"/>
          </c:marker>
          <c:xVal>
            <c:numRef>
              <c:f>N405JH!$L$8:$L$9</c:f>
              <c:numCache>
                <c:formatCode>0.00</c:formatCode>
                <c:ptCount val="2"/>
                <c:pt idx="0">
                  <c:v>38.216227487163451</c:v>
                </c:pt>
                <c:pt idx="1">
                  <c:v>38.216227487163451</c:v>
                </c:pt>
              </c:numCache>
            </c:numRef>
          </c:xVal>
          <c:yVal>
            <c:numRef>
              <c:f>N405JH!$M$8:$M$9</c:f>
              <c:numCache>
                <c:formatCode>General</c:formatCode>
                <c:ptCount val="2"/>
                <c:pt idx="0">
                  <c:v>1918.35</c:v>
                </c:pt>
                <c:pt idx="1">
                  <c:v>1918.35</c:v>
                </c:pt>
              </c:numCache>
            </c:numRef>
          </c:yVal>
          <c:smooth val="0"/>
        </c:ser>
        <c:ser>
          <c:idx val="1"/>
          <c:order val="6"/>
          <c:tx>
            <c:v>Series6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N405JH!$L$6:$L$7</c:f>
              <c:numCache>
                <c:formatCode>0.00</c:formatCode>
                <c:ptCount val="2"/>
                <c:pt idx="0">
                  <c:v>38.216227487163451</c:v>
                </c:pt>
                <c:pt idx="1">
                  <c:v>38.216227487163451</c:v>
                </c:pt>
              </c:numCache>
            </c:numRef>
          </c:xVal>
          <c:yVal>
            <c:numRef>
              <c:f>N405JH!$M$6:$M$7</c:f>
              <c:numCache>
                <c:formatCode>General</c:formatCode>
                <c:ptCount val="2"/>
                <c:pt idx="0">
                  <c:v>1918.35</c:v>
                </c:pt>
                <c:pt idx="1">
                  <c:v>1918.35</c:v>
                </c:pt>
              </c:numCache>
            </c:numRef>
          </c:yVal>
          <c:smooth val="0"/>
        </c:ser>
        <c:ser>
          <c:idx val="5"/>
          <c:order val="7"/>
          <c:tx>
            <c:v>Series9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N405JH!$L$9:$L$10</c:f>
              <c:numCache>
                <c:formatCode>0.00</c:formatCode>
                <c:ptCount val="2"/>
                <c:pt idx="0">
                  <c:v>38.216227487163451</c:v>
                </c:pt>
                <c:pt idx="1">
                  <c:v>38.216227487163451</c:v>
                </c:pt>
              </c:numCache>
            </c:numRef>
          </c:xVal>
          <c:yVal>
            <c:numRef>
              <c:f>N405JH!$M$9:$M$10</c:f>
              <c:numCache>
                <c:formatCode>General</c:formatCode>
                <c:ptCount val="2"/>
                <c:pt idx="0">
                  <c:v>1918.35</c:v>
                </c:pt>
                <c:pt idx="1">
                  <c:v>1918.35</c:v>
                </c:pt>
              </c:numCache>
            </c:numRef>
          </c:yVal>
          <c:smooth val="0"/>
        </c:ser>
        <c:ser>
          <c:idx val="8"/>
          <c:order val="8"/>
          <c:tx>
            <c:v>Series10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N405JH!$L$10:$L$11</c:f>
              <c:numCache>
                <c:formatCode>0.00</c:formatCode>
                <c:ptCount val="2"/>
                <c:pt idx="0">
                  <c:v>38.216227487163451</c:v>
                </c:pt>
                <c:pt idx="1">
                  <c:v>40.023553457191333</c:v>
                </c:pt>
              </c:numCache>
            </c:numRef>
          </c:xVal>
          <c:yVal>
            <c:numRef>
              <c:f>N405JH!$M$10:$M$11</c:f>
              <c:numCache>
                <c:formatCode>General</c:formatCode>
                <c:ptCount val="2"/>
                <c:pt idx="0">
                  <c:v>1918.35</c:v>
                </c:pt>
                <c:pt idx="1">
                  <c:v>2446.35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1076752"/>
        <c:axId val="321077536"/>
      </c:scatterChart>
      <c:valAx>
        <c:axId val="321076752"/>
        <c:scaling>
          <c:orientation val="minMax"/>
          <c:max val="47"/>
          <c:min val="32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US"/>
                  <a:t>C.G. Location (Inches Aft Datum)</a:t>
                </a:r>
              </a:p>
            </c:rich>
          </c:tx>
          <c:layout>
            <c:manualLayout>
              <c:xMode val="edge"/>
              <c:yMode val="edge"/>
              <c:x val="0.2658231955584881"/>
              <c:y val="0.851633281414134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n-US"/>
          </a:p>
        </c:txPr>
        <c:crossAx val="321077536"/>
        <c:crossesAt val="1200"/>
        <c:crossBetween val="midCat"/>
        <c:majorUnit val="1"/>
        <c:minorUnit val="1"/>
      </c:valAx>
      <c:valAx>
        <c:axId val="321077536"/>
        <c:scaling>
          <c:orientation val="minMax"/>
          <c:max val="3200"/>
          <c:min val="1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US"/>
                  <a:t>Aircraft Weight (lbs)</a:t>
                </a:r>
              </a:p>
            </c:rich>
          </c:tx>
          <c:layout>
            <c:manualLayout>
              <c:xMode val="edge"/>
              <c:yMode val="edge"/>
              <c:x val="1.5822809259433822E-2"/>
              <c:y val="0.234421704640127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n-US"/>
          </a:p>
        </c:txPr>
        <c:crossAx val="321076752"/>
        <c:crossesAt val="32"/>
        <c:crossBetween val="midCat"/>
        <c:majorUnit val="100"/>
        <c:minorUnit val="50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0000">
        <a:alpha val="26000"/>
      </a:srgbClr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0</xdr:col>
      <xdr:colOff>3038475</xdr:colOff>
      <xdr:row>18</xdr:row>
      <xdr:rowOff>123825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0</xdr:col>
      <xdr:colOff>3038475</xdr:colOff>
      <xdr:row>18</xdr:row>
      <xdr:rowOff>123825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3009900</xdr:colOff>
      <xdr:row>18</xdr:row>
      <xdr:rowOff>152400</xdr:rowOff>
    </xdr:to>
    <xdr:graphicFrame macro="">
      <xdr:nvGraphicFramePr>
        <xdr:cNvPr id="1126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3009900</xdr:colOff>
      <xdr:row>18</xdr:row>
      <xdr:rowOff>152400</xdr:rowOff>
    </xdr:to>
    <xdr:graphicFrame macro="">
      <xdr:nvGraphicFramePr>
        <xdr:cNvPr id="122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Q25"/>
  <sheetViews>
    <sheetView showOutlineSymbols="0" zoomScale="115" workbookViewId="0">
      <selection activeCell="D5" sqref="D5"/>
    </sheetView>
  </sheetViews>
  <sheetFormatPr defaultRowHeight="12.75" customHeight="1" x14ac:dyDescent="0.2"/>
  <cols>
    <col min="1" max="1" width="45.85546875" style="2" customWidth="1"/>
    <col min="2" max="2" width="19.28515625" style="2" customWidth="1"/>
    <col min="3" max="3" width="0.28515625" style="2" customWidth="1"/>
    <col min="4" max="4" width="4.42578125" style="2" customWidth="1"/>
    <col min="5" max="5" width="0.28515625" style="2" customWidth="1"/>
    <col min="6" max="6" width="6.42578125" style="2" customWidth="1"/>
    <col min="7" max="7" width="0.28515625" style="2" customWidth="1"/>
    <col min="8" max="8" width="5.7109375" style="2" customWidth="1"/>
    <col min="9" max="9" width="0.28515625" style="2" customWidth="1"/>
    <col min="10" max="10" width="7.5703125" style="2" customWidth="1"/>
    <col min="11" max="11" width="0.85546875" style="2" customWidth="1"/>
    <col min="12" max="12" width="6.85546875" style="2" customWidth="1"/>
    <col min="13" max="13" width="6.5703125" style="2" customWidth="1"/>
    <col min="14" max="14" width="9" style="2" customWidth="1"/>
    <col min="15" max="17" width="4.42578125" style="2" customWidth="1"/>
    <col min="18" max="18" width="2.7109375" style="2" customWidth="1"/>
    <col min="19" max="16384" width="9.140625" style="2"/>
  </cols>
  <sheetData>
    <row r="1" spans="1:17" ht="24" customHeight="1" x14ac:dyDescent="0.35">
      <c r="A1" s="1"/>
      <c r="B1" s="1"/>
      <c r="C1" s="1"/>
      <c r="D1" s="1"/>
      <c r="E1" s="20" t="s">
        <v>22</v>
      </c>
      <c r="H1" s="1"/>
      <c r="I1" s="1"/>
      <c r="J1" s="1"/>
    </row>
    <row r="2" spans="1:17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7" ht="12.75" customHeight="1" x14ac:dyDescent="0.2">
      <c r="B3" s="52" t="s">
        <v>31</v>
      </c>
      <c r="C3" s="45"/>
      <c r="D3" s="15" t="s">
        <v>0</v>
      </c>
      <c r="F3" s="15" t="s">
        <v>1</v>
      </c>
      <c r="G3" s="16"/>
      <c r="H3" s="15" t="s">
        <v>2</v>
      </c>
      <c r="I3" s="16"/>
      <c r="J3" s="15" t="s">
        <v>3</v>
      </c>
      <c r="K3" s="3"/>
      <c r="L3" s="4">
        <f>L4</f>
        <v>39.122426799641993</v>
      </c>
      <c r="M3" s="4">
        <f>M4</f>
        <v>1564.2</v>
      </c>
    </row>
    <row r="4" spans="1:17" ht="12.75" customHeight="1" x14ac:dyDescent="0.2">
      <c r="B4" s="2" t="s">
        <v>4</v>
      </c>
      <c r="C4" s="45"/>
      <c r="D4" s="2">
        <v>1564.2</v>
      </c>
      <c r="F4" s="2">
        <f t="shared" ref="F4:F10" si="0">D4</f>
        <v>1564.2</v>
      </c>
      <c r="H4" s="39">
        <f>J4/F4</f>
        <v>39.122426799641993</v>
      </c>
      <c r="I4" s="4"/>
      <c r="J4" s="5">
        <v>61195.3</v>
      </c>
      <c r="K4" s="4"/>
      <c r="L4" s="4">
        <f t="shared" ref="L4:L11" si="1">N4/M4</f>
        <v>39.122426799641993</v>
      </c>
      <c r="M4" s="2">
        <f>F4</f>
        <v>1564.2</v>
      </c>
      <c r="N4" s="4">
        <f>J4</f>
        <v>61195.3</v>
      </c>
      <c r="O4" s="2">
        <v>35</v>
      </c>
      <c r="P4" s="2">
        <v>1500</v>
      </c>
      <c r="Q4" s="46"/>
    </row>
    <row r="5" spans="1:17" ht="12.75" customHeight="1" x14ac:dyDescent="0.2">
      <c r="B5" s="22" t="s">
        <v>5</v>
      </c>
      <c r="C5" s="21"/>
      <c r="D5" s="23">
        <v>0</v>
      </c>
      <c r="E5" s="22"/>
      <c r="F5" s="22">
        <f t="shared" si="0"/>
        <v>0</v>
      </c>
      <c r="G5" s="22"/>
      <c r="H5" s="40">
        <v>37</v>
      </c>
      <c r="I5" s="24"/>
      <c r="J5" s="25">
        <f t="shared" ref="J5:J11" si="2">F5*H5</f>
        <v>0</v>
      </c>
      <c r="K5" s="6"/>
      <c r="L5" s="4">
        <f t="shared" si="1"/>
        <v>39.122426799641993</v>
      </c>
      <c r="M5" s="2">
        <f t="shared" ref="M5:M11" si="3">F5+M4</f>
        <v>1564.2</v>
      </c>
      <c r="N5" s="4">
        <f t="shared" ref="N5:N11" si="4">J5+N4</f>
        <v>61195.3</v>
      </c>
      <c r="O5" s="2">
        <v>35</v>
      </c>
      <c r="P5" s="2">
        <v>1950</v>
      </c>
      <c r="Q5" s="46"/>
    </row>
    <row r="6" spans="1:17" ht="12.75" customHeight="1" x14ac:dyDescent="0.2">
      <c r="B6" s="22" t="s">
        <v>6</v>
      </c>
      <c r="C6" s="22"/>
      <c r="D6" s="23">
        <v>0</v>
      </c>
      <c r="E6" s="22"/>
      <c r="F6" s="22">
        <f t="shared" si="0"/>
        <v>0</v>
      </c>
      <c r="G6" s="22"/>
      <c r="H6" s="40">
        <v>37</v>
      </c>
      <c r="I6" s="24"/>
      <c r="J6" s="25">
        <f t="shared" si="2"/>
        <v>0</v>
      </c>
      <c r="K6" s="7"/>
      <c r="L6" s="4">
        <f t="shared" si="1"/>
        <v>39.122426799641993</v>
      </c>
      <c r="M6" s="2">
        <f t="shared" si="3"/>
        <v>1564.2</v>
      </c>
      <c r="N6" s="4">
        <f t="shared" si="4"/>
        <v>61195.3</v>
      </c>
      <c r="O6" s="2">
        <v>41</v>
      </c>
      <c r="P6" s="2">
        <v>2550</v>
      </c>
      <c r="Q6" s="46"/>
    </row>
    <row r="7" spans="1:17" ht="12.75" customHeight="1" x14ac:dyDescent="0.2">
      <c r="B7" s="26" t="s">
        <v>7</v>
      </c>
      <c r="C7" s="22"/>
      <c r="D7" s="47">
        <v>0</v>
      </c>
      <c r="E7" s="48"/>
      <c r="F7" s="48">
        <f t="shared" si="0"/>
        <v>0</v>
      </c>
      <c r="G7" s="48"/>
      <c r="H7" s="49">
        <v>73</v>
      </c>
      <c r="I7" s="50"/>
      <c r="J7" s="51">
        <f t="shared" si="2"/>
        <v>0</v>
      </c>
      <c r="K7" s="7"/>
      <c r="L7" s="4">
        <f t="shared" si="1"/>
        <v>39.122426799641993</v>
      </c>
      <c r="M7" s="2">
        <f t="shared" si="3"/>
        <v>1564.2</v>
      </c>
      <c r="N7" s="4">
        <f t="shared" si="4"/>
        <v>61195.3</v>
      </c>
      <c r="O7" s="2">
        <v>47.3</v>
      </c>
      <c r="P7" s="2">
        <v>2550</v>
      </c>
      <c r="Q7" s="46"/>
    </row>
    <row r="8" spans="1:17" ht="12.75" customHeight="1" x14ac:dyDescent="0.2">
      <c r="B8" s="26" t="s">
        <v>7</v>
      </c>
      <c r="C8" s="26"/>
      <c r="D8" s="27">
        <v>0</v>
      </c>
      <c r="E8" s="26"/>
      <c r="F8" s="48">
        <f>D8</f>
        <v>0</v>
      </c>
      <c r="G8" s="26"/>
      <c r="H8" s="41">
        <v>73</v>
      </c>
      <c r="I8" s="28"/>
      <c r="J8" s="29">
        <f t="shared" si="2"/>
        <v>0</v>
      </c>
      <c r="K8" s="8"/>
      <c r="L8" s="4">
        <f t="shared" si="1"/>
        <v>39.122426799641993</v>
      </c>
      <c r="M8" s="2">
        <f t="shared" si="3"/>
        <v>1564.2</v>
      </c>
      <c r="N8" s="4">
        <f t="shared" si="4"/>
        <v>61195.3</v>
      </c>
      <c r="O8" s="2">
        <v>47.3</v>
      </c>
      <c r="P8" s="2">
        <v>1500</v>
      </c>
      <c r="Q8" s="46"/>
    </row>
    <row r="9" spans="1:17" ht="12.75" customHeight="1" x14ac:dyDescent="0.2">
      <c r="B9" s="35" t="s">
        <v>8</v>
      </c>
      <c r="C9" s="26"/>
      <c r="D9" s="36">
        <v>0</v>
      </c>
      <c r="E9" s="35"/>
      <c r="F9" s="48">
        <f>D9</f>
        <v>0</v>
      </c>
      <c r="G9" s="35"/>
      <c r="H9" s="42">
        <v>95</v>
      </c>
      <c r="I9" s="37"/>
      <c r="J9" s="38">
        <f t="shared" si="2"/>
        <v>0</v>
      </c>
      <c r="K9" s="8"/>
      <c r="L9" s="4">
        <f t="shared" si="1"/>
        <v>39.122426799641993</v>
      </c>
      <c r="M9" s="2">
        <f t="shared" si="3"/>
        <v>1564.2</v>
      </c>
      <c r="N9" s="4">
        <f t="shared" si="4"/>
        <v>61195.3</v>
      </c>
      <c r="O9" s="2" t="s">
        <v>9</v>
      </c>
      <c r="P9" s="2" t="s">
        <v>9</v>
      </c>
      <c r="Q9" s="46"/>
    </row>
    <row r="10" spans="1:17" ht="12.75" customHeight="1" x14ac:dyDescent="0.2">
      <c r="B10" s="35" t="s">
        <v>10</v>
      </c>
      <c r="C10" s="35"/>
      <c r="D10" s="36">
        <v>0</v>
      </c>
      <c r="E10" s="35"/>
      <c r="F10" s="35">
        <f t="shared" si="0"/>
        <v>0</v>
      </c>
      <c r="G10" s="35"/>
      <c r="H10" s="42">
        <v>123</v>
      </c>
      <c r="I10" s="37"/>
      <c r="J10" s="38">
        <f t="shared" si="2"/>
        <v>0</v>
      </c>
      <c r="K10" s="9"/>
      <c r="L10" s="4">
        <f t="shared" si="1"/>
        <v>39.122426799641993</v>
      </c>
      <c r="M10" s="2">
        <f t="shared" si="3"/>
        <v>1564.2</v>
      </c>
      <c r="N10" s="4">
        <f t="shared" si="4"/>
        <v>61195.3</v>
      </c>
      <c r="O10" s="2" t="s">
        <v>9</v>
      </c>
      <c r="P10" s="2" t="s">
        <v>9</v>
      </c>
      <c r="Q10" s="46"/>
    </row>
    <row r="11" spans="1:17" ht="12.75" customHeight="1" x14ac:dyDescent="0.2">
      <c r="B11" s="30" t="s">
        <v>25</v>
      </c>
      <c r="C11" s="32"/>
      <c r="D11" s="31">
        <v>50</v>
      </c>
      <c r="E11" s="32"/>
      <c r="F11" s="30">
        <f>6*D11</f>
        <v>300</v>
      </c>
      <c r="G11" s="30"/>
      <c r="H11" s="43">
        <v>48</v>
      </c>
      <c r="I11" s="33"/>
      <c r="J11" s="34">
        <f t="shared" si="2"/>
        <v>14400</v>
      </c>
      <c r="K11" s="10"/>
      <c r="L11" s="4">
        <f t="shared" si="1"/>
        <v>40.551067482029829</v>
      </c>
      <c r="M11" s="2">
        <f t="shared" si="3"/>
        <v>1864.2</v>
      </c>
      <c r="N11" s="4">
        <f t="shared" si="4"/>
        <v>75595.3</v>
      </c>
    </row>
    <row r="12" spans="1:17" ht="12.75" customHeight="1" x14ac:dyDescent="0.2">
      <c r="B12" s="11" t="s">
        <v>26</v>
      </c>
      <c r="C12" s="12"/>
      <c r="D12" s="11"/>
      <c r="E12" s="12"/>
      <c r="F12" s="13">
        <f>M11</f>
        <v>1864.2</v>
      </c>
      <c r="H12" s="44">
        <f>J12/F12</f>
        <v>40.551067482029829</v>
      </c>
      <c r="I12" s="4"/>
      <c r="J12" s="14">
        <f>SUM(J4:J11)</f>
        <v>75595.3</v>
      </c>
      <c r="K12" s="4"/>
      <c r="L12" s="4">
        <f>L11</f>
        <v>40.551067482029829</v>
      </c>
      <c r="N12" s="4"/>
      <c r="O12" s="2" t="s">
        <v>9</v>
      </c>
      <c r="P12" s="2" t="s">
        <v>9</v>
      </c>
    </row>
    <row r="13" spans="1:17" ht="12.75" customHeight="1" x14ac:dyDescent="0.2">
      <c r="B13" s="19" t="str">
        <f>IF(F12&gt;M15,"Warning: Maximum Gross Weight Exceeded","")</f>
        <v/>
      </c>
      <c r="H13" s="4"/>
      <c r="I13" s="4"/>
      <c r="J13" s="4"/>
      <c r="K13" s="4"/>
      <c r="L13" s="4">
        <f>L12</f>
        <v>40.551067482029829</v>
      </c>
      <c r="N13" s="4"/>
    </row>
    <row r="14" spans="1:17" ht="12.75" customHeight="1" x14ac:dyDescent="0.2">
      <c r="B14" s="19" t="str">
        <f>IF(OR((D9+D10)&gt;L16,D10&gt;M16),"Warning: Too Much Baggage","")</f>
        <v/>
      </c>
      <c r="H14" s="4"/>
      <c r="I14" s="4"/>
      <c r="J14" s="4"/>
      <c r="K14" s="4"/>
      <c r="L14" s="4"/>
      <c r="N14" s="4"/>
    </row>
    <row r="15" spans="1:17" ht="12.75" customHeight="1" x14ac:dyDescent="0.2">
      <c r="B15" s="19" t="str">
        <f>IF(MAX(L10:L14)&gt;L21,"Warning: C.G. Too Far Aft","")&amp;IF(OR(M23,M24,M25),"Warning: C.G. Too Far Forward","")</f>
        <v/>
      </c>
      <c r="H15" s="4"/>
      <c r="I15" s="4"/>
      <c r="J15" s="4"/>
      <c r="K15" s="4"/>
      <c r="M15" s="18">
        <v>2550</v>
      </c>
      <c r="N15" s="17" t="s">
        <v>11</v>
      </c>
    </row>
    <row r="16" spans="1:17" ht="12.75" customHeight="1" x14ac:dyDescent="0.2">
      <c r="B16" s="19" t="str">
        <f>IF(D11&gt;L17,"Error: Too Much Fuel","")&amp;IF(D11&lt;M17,"Warning: Low Fuel","")</f>
        <v/>
      </c>
      <c r="L16" s="2">
        <v>120</v>
      </c>
      <c r="M16" s="2">
        <v>50</v>
      </c>
      <c r="N16" s="17" t="s">
        <v>12</v>
      </c>
    </row>
    <row r="17" spans="1:14" ht="12.75" customHeight="1" x14ac:dyDescent="0.2">
      <c r="B17" s="19" t="s">
        <v>27</v>
      </c>
      <c r="F17" s="53">
        <f>M15</f>
        <v>2550</v>
      </c>
      <c r="L17" s="2">
        <v>50</v>
      </c>
      <c r="M17" s="2">
        <v>10</v>
      </c>
      <c r="N17" s="17" t="s">
        <v>13</v>
      </c>
    </row>
    <row r="18" spans="1:14" ht="12.75" customHeight="1" x14ac:dyDescent="0.2">
      <c r="B18" s="54" t="s">
        <v>29</v>
      </c>
      <c r="F18" s="56">
        <f>M15-F12</f>
        <v>685.8</v>
      </c>
      <c r="L18" s="2">
        <v>35</v>
      </c>
      <c r="M18" s="2">
        <v>1950</v>
      </c>
      <c r="N18" s="17" t="s">
        <v>14</v>
      </c>
    </row>
    <row r="19" spans="1:14" ht="12.75" customHeight="1" x14ac:dyDescent="0.2">
      <c r="B19" s="55" t="s">
        <v>28</v>
      </c>
      <c r="L19" s="2">
        <v>37</v>
      </c>
      <c r="M19" s="2">
        <v>2150</v>
      </c>
      <c r="N19" s="17" t="s">
        <v>15</v>
      </c>
    </row>
    <row r="20" spans="1:14" ht="12.75" customHeight="1" x14ac:dyDescent="0.2">
      <c r="L20" s="2">
        <v>38.5</v>
      </c>
      <c r="M20" s="2">
        <v>2300</v>
      </c>
      <c r="N20" s="17" t="s">
        <v>16</v>
      </c>
    </row>
    <row r="21" spans="1:14" ht="12.75" customHeight="1" x14ac:dyDescent="0.2">
      <c r="A21" s="57" t="s">
        <v>30</v>
      </c>
      <c r="L21" s="2">
        <v>47.3</v>
      </c>
      <c r="M21" s="2">
        <v>2550</v>
      </c>
      <c r="N21" s="17" t="s">
        <v>17</v>
      </c>
    </row>
    <row r="22" spans="1:14" ht="12.75" customHeight="1" x14ac:dyDescent="0.2">
      <c r="M22" s="4">
        <v>47.3</v>
      </c>
      <c r="N22" s="17" t="s">
        <v>18</v>
      </c>
    </row>
    <row r="23" spans="1:14" ht="12.75" customHeight="1" x14ac:dyDescent="0.2">
      <c r="M23" s="2" t="b">
        <f>L11&lt;L18</f>
        <v>0</v>
      </c>
      <c r="N23" s="17" t="s">
        <v>19</v>
      </c>
    </row>
    <row r="24" spans="1:14" ht="12.75" customHeight="1" x14ac:dyDescent="0.2">
      <c r="M24" s="2" t="b">
        <f>OR(AND(M11&lt;M19,M11&gt;(M18+(M19-M18)*(L11-L18)/(L19-L18))),AND(M13&lt;M19,M13&gt;(M18+(M19-M18)*(L13-L18)/(L19-L18))))</f>
        <v>0</v>
      </c>
      <c r="N24" s="17" t="s">
        <v>20</v>
      </c>
    </row>
    <row r="25" spans="1:14" ht="12.75" customHeight="1" x14ac:dyDescent="0.2">
      <c r="M25" s="2" t="b">
        <f>OR(AND(M11&lt;M20,M11&gt;(M19+(M20-M19)*(L11-L19)/(L20-L19))),AND(M13&lt;M20,M13&gt;(M19+(M20-M19)*(L13-L19)/(L20-L19))))</f>
        <v>0</v>
      </c>
      <c r="N25" s="17" t="s">
        <v>24</v>
      </c>
    </row>
  </sheetData>
  <sheetProtection password="CA93" sheet="1" objects="1" scenarios="1"/>
  <phoneticPr fontId="0" type="noConversion"/>
  <conditionalFormatting sqref="F18">
    <cfRule type="cellIs" dxfId="7" priority="1" stopIfTrue="1" operator="greaterThanOrEqual">
      <formula>0</formula>
    </cfRule>
    <cfRule type="cellIs" dxfId="6" priority="2" stopIfTrue="1" operator="lessThan">
      <formula>0</formula>
    </cfRule>
  </conditionalFormatting>
  <printOptions horizontalCentered="1"/>
  <pageMargins left="0" right="0" top="0.56000000000000005" bottom="0.17" header="0.5" footer="0.5"/>
  <pageSetup orientation="landscape" horizontalDpi="4294967292" vertic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Q25"/>
  <sheetViews>
    <sheetView showOutlineSymbols="0" zoomScale="115" workbookViewId="0">
      <selection activeCell="D5" sqref="D5"/>
    </sheetView>
  </sheetViews>
  <sheetFormatPr defaultRowHeight="12.75" customHeight="1" x14ac:dyDescent="0.2"/>
  <cols>
    <col min="1" max="1" width="45.85546875" style="2" customWidth="1"/>
    <col min="2" max="2" width="19.28515625" style="2" customWidth="1"/>
    <col min="3" max="3" width="0.28515625" style="2" customWidth="1"/>
    <col min="4" max="4" width="4.42578125" style="2" customWidth="1"/>
    <col min="5" max="5" width="0.28515625" style="2" customWidth="1"/>
    <col min="6" max="6" width="6.42578125" style="2" customWidth="1"/>
    <col min="7" max="7" width="0.28515625" style="2" customWidth="1"/>
    <col min="8" max="8" width="5.7109375" style="2" customWidth="1"/>
    <col min="9" max="9" width="0.28515625" style="2" customWidth="1"/>
    <col min="10" max="10" width="7.5703125" style="2" customWidth="1"/>
    <col min="11" max="11" width="0.85546875" style="2" customWidth="1"/>
    <col min="12" max="12" width="6.85546875" style="2" customWidth="1"/>
    <col min="13" max="13" width="6.5703125" style="2" customWidth="1"/>
    <col min="14" max="14" width="9" style="2" customWidth="1"/>
    <col min="15" max="17" width="4.42578125" style="2" customWidth="1"/>
    <col min="18" max="18" width="2.7109375" style="2" customWidth="1"/>
    <col min="19" max="16384" width="9.140625" style="2"/>
  </cols>
  <sheetData>
    <row r="1" spans="1:17" ht="24" customHeight="1" x14ac:dyDescent="0.35">
      <c r="A1" s="1"/>
      <c r="B1" s="1"/>
      <c r="C1" s="1"/>
      <c r="D1" s="1"/>
      <c r="E1" s="20" t="s">
        <v>23</v>
      </c>
      <c r="H1" s="1"/>
      <c r="I1" s="1"/>
      <c r="J1" s="1"/>
    </row>
    <row r="2" spans="1:17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7" ht="12.75" customHeight="1" x14ac:dyDescent="0.2">
      <c r="B3" s="52" t="s">
        <v>31</v>
      </c>
      <c r="C3" s="45"/>
      <c r="D3" s="15" t="s">
        <v>0</v>
      </c>
      <c r="F3" s="15" t="s">
        <v>1</v>
      </c>
      <c r="G3" s="16"/>
      <c r="H3" s="15" t="s">
        <v>2</v>
      </c>
      <c r="I3" s="16"/>
      <c r="J3" s="15" t="s">
        <v>3</v>
      </c>
      <c r="K3" s="3"/>
      <c r="L3" s="4">
        <f>L4</f>
        <v>42.832872594540923</v>
      </c>
      <c r="M3" s="4">
        <v>1200</v>
      </c>
    </row>
    <row r="4" spans="1:17" ht="12.75" customHeight="1" x14ac:dyDescent="0.2">
      <c r="B4" s="2" t="s">
        <v>4</v>
      </c>
      <c r="C4" s="45"/>
      <c r="D4" s="2">
        <v>1490.36</v>
      </c>
      <c r="F4" s="2">
        <f t="shared" ref="F4:F10" si="0">D4</f>
        <v>1490.36</v>
      </c>
      <c r="H4" s="39">
        <f>J4/F4</f>
        <v>42.832872594540923</v>
      </c>
      <c r="I4" s="4"/>
      <c r="J4" s="5">
        <v>63836.4</v>
      </c>
      <c r="K4" s="4"/>
      <c r="L4" s="4">
        <f t="shared" ref="L4:L11" si="1">N4/M4</f>
        <v>42.832872594540923</v>
      </c>
      <c r="M4" s="2">
        <f>F4</f>
        <v>1490.36</v>
      </c>
      <c r="N4" s="4">
        <f>J4</f>
        <v>63836.4</v>
      </c>
      <c r="O4" s="2">
        <v>35</v>
      </c>
      <c r="P4" s="2">
        <v>1500</v>
      </c>
      <c r="Q4" s="46"/>
    </row>
    <row r="5" spans="1:17" ht="12.75" customHeight="1" x14ac:dyDescent="0.2">
      <c r="B5" s="22" t="s">
        <v>5</v>
      </c>
      <c r="C5" s="21"/>
      <c r="D5" s="23">
        <v>0</v>
      </c>
      <c r="E5" s="22"/>
      <c r="F5" s="22">
        <f t="shared" si="0"/>
        <v>0</v>
      </c>
      <c r="G5" s="22"/>
      <c r="H5" s="40">
        <v>37</v>
      </c>
      <c r="I5" s="24"/>
      <c r="J5" s="25">
        <f t="shared" ref="J5:J11" si="2">F5*H5</f>
        <v>0</v>
      </c>
      <c r="K5" s="6"/>
      <c r="L5" s="4">
        <f t="shared" si="1"/>
        <v>42.832872594540923</v>
      </c>
      <c r="M5" s="2">
        <f t="shared" ref="M5:M11" si="3">F5+M4</f>
        <v>1490.36</v>
      </c>
      <c r="N5" s="4">
        <f t="shared" ref="N5:N11" si="4">J5+N4</f>
        <v>63836.4</v>
      </c>
      <c r="O5" s="2">
        <v>35</v>
      </c>
      <c r="P5" s="2">
        <v>1950</v>
      </c>
      <c r="Q5" s="46"/>
    </row>
    <row r="6" spans="1:17" ht="12.75" customHeight="1" x14ac:dyDescent="0.2">
      <c r="B6" s="22" t="s">
        <v>6</v>
      </c>
      <c r="C6" s="22"/>
      <c r="D6" s="23">
        <v>0</v>
      </c>
      <c r="E6" s="22"/>
      <c r="F6" s="22">
        <f t="shared" si="0"/>
        <v>0</v>
      </c>
      <c r="G6" s="22"/>
      <c r="H6" s="40">
        <v>37</v>
      </c>
      <c r="I6" s="24"/>
      <c r="J6" s="25">
        <f t="shared" si="2"/>
        <v>0</v>
      </c>
      <c r="K6" s="7"/>
      <c r="L6" s="4">
        <f t="shared" si="1"/>
        <v>42.832872594540923</v>
      </c>
      <c r="M6" s="2">
        <f t="shared" si="3"/>
        <v>1490.36</v>
      </c>
      <c r="N6" s="4">
        <f t="shared" si="4"/>
        <v>63836.4</v>
      </c>
      <c r="O6" s="2">
        <v>41</v>
      </c>
      <c r="P6" s="2">
        <v>2550</v>
      </c>
      <c r="Q6" s="46"/>
    </row>
    <row r="7" spans="1:17" ht="12.75" customHeight="1" x14ac:dyDescent="0.2">
      <c r="B7" s="26" t="s">
        <v>7</v>
      </c>
      <c r="C7" s="22"/>
      <c r="D7" s="47">
        <v>0</v>
      </c>
      <c r="E7" s="48"/>
      <c r="F7" s="48">
        <f t="shared" si="0"/>
        <v>0</v>
      </c>
      <c r="G7" s="48"/>
      <c r="H7" s="49">
        <v>73</v>
      </c>
      <c r="I7" s="50"/>
      <c r="J7" s="51">
        <f t="shared" si="2"/>
        <v>0</v>
      </c>
      <c r="K7" s="7"/>
      <c r="L7" s="4">
        <f t="shared" si="1"/>
        <v>42.832872594540923</v>
      </c>
      <c r="M7" s="2">
        <f t="shared" si="3"/>
        <v>1490.36</v>
      </c>
      <c r="N7" s="4">
        <f t="shared" si="4"/>
        <v>63836.4</v>
      </c>
      <c r="O7" s="2">
        <v>47.3</v>
      </c>
      <c r="P7" s="2">
        <v>2550</v>
      </c>
      <c r="Q7" s="46"/>
    </row>
    <row r="8" spans="1:17" ht="12.75" customHeight="1" x14ac:dyDescent="0.2">
      <c r="B8" s="26" t="s">
        <v>7</v>
      </c>
      <c r="C8" s="26"/>
      <c r="D8" s="27">
        <v>0</v>
      </c>
      <c r="E8" s="26"/>
      <c r="F8" s="48">
        <f t="shared" si="0"/>
        <v>0</v>
      </c>
      <c r="G8" s="26"/>
      <c r="H8" s="41">
        <v>73</v>
      </c>
      <c r="I8" s="28"/>
      <c r="J8" s="29">
        <f t="shared" si="2"/>
        <v>0</v>
      </c>
      <c r="K8" s="8"/>
      <c r="L8" s="4">
        <f t="shared" si="1"/>
        <v>42.832872594540923</v>
      </c>
      <c r="M8" s="2">
        <f t="shared" si="3"/>
        <v>1490.36</v>
      </c>
      <c r="N8" s="4">
        <f t="shared" si="4"/>
        <v>63836.4</v>
      </c>
      <c r="O8" s="2">
        <v>47.3</v>
      </c>
      <c r="P8" s="2">
        <v>1500</v>
      </c>
      <c r="Q8" s="46"/>
    </row>
    <row r="9" spans="1:17" ht="12.75" customHeight="1" x14ac:dyDescent="0.2">
      <c r="B9" s="35" t="s">
        <v>8</v>
      </c>
      <c r="C9" s="26"/>
      <c r="D9" s="36">
        <v>0</v>
      </c>
      <c r="E9" s="35"/>
      <c r="F9" s="35">
        <f t="shared" si="0"/>
        <v>0</v>
      </c>
      <c r="G9" s="35"/>
      <c r="H9" s="42">
        <v>95</v>
      </c>
      <c r="I9" s="37"/>
      <c r="J9" s="38">
        <f t="shared" si="2"/>
        <v>0</v>
      </c>
      <c r="K9" s="8"/>
      <c r="L9" s="4">
        <f t="shared" si="1"/>
        <v>42.832872594540923</v>
      </c>
      <c r="M9" s="2">
        <f t="shared" si="3"/>
        <v>1490.36</v>
      </c>
      <c r="N9" s="4">
        <f t="shared" si="4"/>
        <v>63836.4</v>
      </c>
      <c r="O9" s="2" t="s">
        <v>9</v>
      </c>
      <c r="P9" s="2" t="s">
        <v>9</v>
      </c>
      <c r="Q9" s="46"/>
    </row>
    <row r="10" spans="1:17" ht="12.75" customHeight="1" x14ac:dyDescent="0.2">
      <c r="B10" s="35" t="s">
        <v>10</v>
      </c>
      <c r="C10" s="35"/>
      <c r="D10" s="36">
        <v>0</v>
      </c>
      <c r="E10" s="35"/>
      <c r="F10" s="35">
        <f t="shared" si="0"/>
        <v>0</v>
      </c>
      <c r="G10" s="35"/>
      <c r="H10" s="42">
        <v>123</v>
      </c>
      <c r="I10" s="37"/>
      <c r="J10" s="38">
        <f t="shared" si="2"/>
        <v>0</v>
      </c>
      <c r="K10" s="9"/>
      <c r="L10" s="4">
        <f t="shared" si="1"/>
        <v>42.832872594540923</v>
      </c>
      <c r="M10" s="2">
        <f t="shared" si="3"/>
        <v>1490.36</v>
      </c>
      <c r="N10" s="4">
        <f t="shared" si="4"/>
        <v>63836.4</v>
      </c>
      <c r="O10" s="2" t="s">
        <v>9</v>
      </c>
      <c r="P10" s="2" t="s">
        <v>9</v>
      </c>
      <c r="Q10" s="46"/>
    </row>
    <row r="11" spans="1:17" ht="12.75" customHeight="1" x14ac:dyDescent="0.2">
      <c r="B11" s="30" t="s">
        <v>25</v>
      </c>
      <c r="C11" s="32"/>
      <c r="D11" s="31">
        <v>50</v>
      </c>
      <c r="E11" s="32"/>
      <c r="F11" s="30">
        <f>6*D11</f>
        <v>300</v>
      </c>
      <c r="G11" s="30"/>
      <c r="H11" s="43">
        <v>48</v>
      </c>
      <c r="I11" s="33"/>
      <c r="J11" s="34">
        <f t="shared" si="2"/>
        <v>14400</v>
      </c>
      <c r="K11" s="10"/>
      <c r="L11" s="4">
        <f t="shared" si="1"/>
        <v>43.698697468665522</v>
      </c>
      <c r="M11" s="2">
        <f t="shared" si="3"/>
        <v>1790.36</v>
      </c>
      <c r="N11" s="4">
        <f t="shared" si="4"/>
        <v>78236.399999999994</v>
      </c>
    </row>
    <row r="12" spans="1:17" ht="12.75" customHeight="1" x14ac:dyDescent="0.2">
      <c r="B12" s="11" t="s">
        <v>26</v>
      </c>
      <c r="C12" s="12"/>
      <c r="D12" s="11"/>
      <c r="E12" s="12"/>
      <c r="F12" s="13">
        <f>M11</f>
        <v>1790.36</v>
      </c>
      <c r="H12" s="44">
        <f>J12/F12</f>
        <v>43.698697468665522</v>
      </c>
      <c r="I12" s="4"/>
      <c r="J12" s="14">
        <f>SUM(J4:J11)</f>
        <v>78236.399999999994</v>
      </c>
      <c r="K12" s="4"/>
      <c r="L12" s="4">
        <f>L11</f>
        <v>43.698697468665522</v>
      </c>
      <c r="N12" s="4"/>
      <c r="O12" s="2" t="s">
        <v>9</v>
      </c>
      <c r="P12" s="2" t="s">
        <v>9</v>
      </c>
    </row>
    <row r="13" spans="1:17" ht="12.75" customHeight="1" x14ac:dyDescent="0.2">
      <c r="B13" s="19" t="str">
        <f>IF(F12&gt;M15,"Warning: Maximum Gross Weight Exceeded","")</f>
        <v/>
      </c>
      <c r="H13" s="4"/>
      <c r="I13" s="4"/>
      <c r="J13" s="4"/>
      <c r="K13" s="4"/>
      <c r="L13" s="4">
        <f>L12</f>
        <v>43.698697468665522</v>
      </c>
      <c r="N13" s="4"/>
    </row>
    <row r="14" spans="1:17" ht="12.75" customHeight="1" x14ac:dyDescent="0.2">
      <c r="B14" s="19" t="str">
        <f>IF(OR((D9+D10)&gt;L16,D10&gt;M16),"Warning: Too Much Baggage","")</f>
        <v/>
      </c>
      <c r="H14" s="4"/>
      <c r="I14" s="4"/>
      <c r="J14" s="4"/>
      <c r="K14" s="4"/>
      <c r="L14" s="4"/>
      <c r="N14" s="4"/>
    </row>
    <row r="15" spans="1:17" ht="12.75" customHeight="1" x14ac:dyDescent="0.2">
      <c r="B15" s="19" t="str">
        <f>IF(MAX(L10:L14)&gt;L21,"Warning: C.G. Too Far Aft","")&amp;IF(OR(M23,M24,M25),"Warning: C.G. Too Far Forward","")</f>
        <v/>
      </c>
      <c r="H15" s="4"/>
      <c r="I15" s="4"/>
      <c r="J15" s="4"/>
      <c r="K15" s="4"/>
      <c r="M15" s="18">
        <v>2550</v>
      </c>
      <c r="N15" s="17" t="s">
        <v>11</v>
      </c>
    </row>
    <row r="16" spans="1:17" ht="12.75" customHeight="1" x14ac:dyDescent="0.2">
      <c r="B16" s="19" t="str">
        <f>IF(D11&gt;L17,"Error: Too Much Fuel","")&amp;IF(D11&lt;M17,"Warning: Low Fuel","")</f>
        <v/>
      </c>
      <c r="L16" s="2">
        <v>120</v>
      </c>
      <c r="M16" s="2">
        <v>50</v>
      </c>
      <c r="N16" s="17" t="s">
        <v>12</v>
      </c>
    </row>
    <row r="17" spans="1:14" ht="12.75" customHeight="1" x14ac:dyDescent="0.2">
      <c r="B17" s="19" t="s">
        <v>27</v>
      </c>
      <c r="F17" s="53">
        <f>M15</f>
        <v>2550</v>
      </c>
      <c r="L17" s="2">
        <v>50</v>
      </c>
      <c r="M17" s="2">
        <v>8</v>
      </c>
      <c r="N17" s="17" t="s">
        <v>13</v>
      </c>
    </row>
    <row r="18" spans="1:14" ht="12.75" customHeight="1" x14ac:dyDescent="0.2">
      <c r="B18" s="54" t="s">
        <v>29</v>
      </c>
      <c r="F18" s="56">
        <f>M15-F12</f>
        <v>759.6400000000001</v>
      </c>
      <c r="L18" s="2">
        <v>35</v>
      </c>
      <c r="M18" s="2">
        <v>1950</v>
      </c>
      <c r="N18" s="17" t="s">
        <v>14</v>
      </c>
    </row>
    <row r="19" spans="1:14" ht="12.75" customHeight="1" x14ac:dyDescent="0.2">
      <c r="B19" s="55" t="s">
        <v>28</v>
      </c>
      <c r="L19" s="2">
        <v>37</v>
      </c>
      <c r="M19" s="2">
        <v>2150</v>
      </c>
      <c r="N19" s="17" t="s">
        <v>15</v>
      </c>
    </row>
    <row r="20" spans="1:14" ht="12.75" customHeight="1" x14ac:dyDescent="0.2">
      <c r="L20" s="2">
        <v>38.5</v>
      </c>
      <c r="M20" s="2">
        <v>2300</v>
      </c>
      <c r="N20" s="17" t="s">
        <v>16</v>
      </c>
    </row>
    <row r="21" spans="1:14" ht="12.75" customHeight="1" x14ac:dyDescent="0.2">
      <c r="A21" s="57" t="s">
        <v>30</v>
      </c>
      <c r="L21" s="2">
        <v>47.3</v>
      </c>
      <c r="M21" s="2">
        <v>2550</v>
      </c>
      <c r="N21" s="17" t="s">
        <v>17</v>
      </c>
    </row>
    <row r="22" spans="1:14" ht="12.75" customHeight="1" x14ac:dyDescent="0.2">
      <c r="M22" s="4">
        <v>47.3</v>
      </c>
      <c r="N22" s="17" t="s">
        <v>18</v>
      </c>
    </row>
    <row r="23" spans="1:14" ht="12.75" customHeight="1" x14ac:dyDescent="0.2">
      <c r="M23" s="2" t="b">
        <f>L11&lt;L18</f>
        <v>0</v>
      </c>
      <c r="N23" s="17" t="s">
        <v>19</v>
      </c>
    </row>
    <row r="24" spans="1:14" ht="12.75" customHeight="1" x14ac:dyDescent="0.2">
      <c r="M24" s="2" t="b">
        <f>OR(AND(M11&lt;M19,M11&gt;(M18+(M19-M18)*(L11-L18)/(L19-L18))),AND(M13&lt;M19,M13&gt;(M18+(M19-M18)*(L13-L18)/(L19-L18))))</f>
        <v>0</v>
      </c>
      <c r="N24" s="17" t="s">
        <v>20</v>
      </c>
    </row>
    <row r="25" spans="1:14" ht="12.75" customHeight="1" x14ac:dyDescent="0.2">
      <c r="M25" s="2" t="b">
        <f>OR(AND(M11&lt;M20,M11&gt;(M19+(M20-M19)*(L11-L19)/(L20-L19))),AND(M13&lt;M20,M13&gt;(M19+(M20-M19)*(L13-L19)/(L20-L19))))</f>
        <v>0</v>
      </c>
      <c r="N25" s="17" t="s">
        <v>21</v>
      </c>
    </row>
  </sheetData>
  <sheetProtection password="CA93" sheet="1" objects="1" scenarios="1"/>
  <phoneticPr fontId="0" type="noConversion"/>
  <conditionalFormatting sqref="F18">
    <cfRule type="cellIs" dxfId="5" priority="1" stopIfTrue="1" operator="greaterThanOrEqual">
      <formula>0</formula>
    </cfRule>
    <cfRule type="cellIs" dxfId="4" priority="2" stopIfTrue="1" operator="lessThan">
      <formula>0</formula>
    </cfRule>
  </conditionalFormatting>
  <printOptions horizontalCentered="1"/>
  <pageMargins left="0" right="0" top="0.56000000000000005" bottom="0.17" header="0.5" footer="0.5"/>
  <pageSetup orientation="portrait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V25"/>
  <sheetViews>
    <sheetView zoomScale="115" workbookViewId="0">
      <selection activeCell="D5" sqref="D5"/>
    </sheetView>
  </sheetViews>
  <sheetFormatPr defaultRowHeight="11.25" x14ac:dyDescent="0.2"/>
  <cols>
    <col min="1" max="1" width="45.85546875" style="60" customWidth="1"/>
    <col min="2" max="2" width="19.28515625" style="60" customWidth="1"/>
    <col min="3" max="3" width="0.28515625" style="60" customWidth="1"/>
    <col min="4" max="4" width="6.5703125" style="60" customWidth="1"/>
    <col min="5" max="5" width="0.28515625" style="60" customWidth="1"/>
    <col min="6" max="6" width="6.42578125" style="60" customWidth="1"/>
    <col min="7" max="7" width="0.28515625" style="60" customWidth="1"/>
    <col min="8" max="8" width="5.7109375" style="60" customWidth="1"/>
    <col min="9" max="9" width="0.28515625" style="60" customWidth="1"/>
    <col min="10" max="10" width="7.5703125" style="60" customWidth="1"/>
    <col min="11" max="11" width="0.85546875" style="60" customWidth="1"/>
    <col min="12" max="12" width="6.85546875" style="60" customWidth="1"/>
    <col min="13" max="13" width="6.5703125" style="60" customWidth="1"/>
    <col min="14" max="14" width="9" style="60" customWidth="1"/>
    <col min="15" max="17" width="4.42578125" style="60" customWidth="1"/>
    <col min="18" max="18" width="2.7109375" style="60" customWidth="1"/>
    <col min="19" max="16384" width="9.140625" style="60"/>
  </cols>
  <sheetData>
    <row r="1" spans="1:17" ht="24" customHeight="1" x14ac:dyDescent="0.35">
      <c r="A1" s="58"/>
      <c r="B1" s="58"/>
      <c r="C1" s="58"/>
      <c r="D1" s="58"/>
      <c r="E1" s="59" t="s">
        <v>32</v>
      </c>
      <c r="H1" s="58"/>
      <c r="I1" s="58"/>
      <c r="J1" s="58"/>
    </row>
    <row r="2" spans="1:17" ht="12.75" customHeight="1" x14ac:dyDescent="0.2">
      <c r="A2" s="58"/>
      <c r="B2" s="58"/>
      <c r="C2" s="58"/>
      <c r="D2" s="58"/>
      <c r="E2" s="58"/>
      <c r="F2" s="58"/>
      <c r="G2" s="58"/>
      <c r="H2" s="58"/>
      <c r="I2" s="58"/>
      <c r="J2" s="58"/>
    </row>
    <row r="3" spans="1:17" ht="12.75" customHeight="1" x14ac:dyDescent="0.2">
      <c r="B3" s="61" t="s">
        <v>40</v>
      </c>
      <c r="C3" s="62"/>
      <c r="D3" s="63" t="s">
        <v>0</v>
      </c>
      <c r="F3" s="63" t="s">
        <v>1</v>
      </c>
      <c r="G3" s="64"/>
      <c r="H3" s="63" t="s">
        <v>2</v>
      </c>
      <c r="I3" s="64"/>
      <c r="J3" s="63" t="s">
        <v>3</v>
      </c>
      <c r="K3" s="65"/>
      <c r="L3" s="66">
        <f>L4</f>
        <v>36.899000000000001</v>
      </c>
      <c r="M3" s="66">
        <f>M4</f>
        <v>1965.6</v>
      </c>
    </row>
    <row r="4" spans="1:17" ht="12.75" customHeight="1" x14ac:dyDescent="0.2">
      <c r="B4" s="60" t="s">
        <v>4</v>
      </c>
      <c r="C4" s="62"/>
      <c r="D4" s="60">
        <v>1965.6</v>
      </c>
      <c r="F4" s="67">
        <f t="shared" ref="F4:F10" si="0">D4</f>
        <v>1965.6</v>
      </c>
      <c r="H4" s="68">
        <v>36.899000000000001</v>
      </c>
      <c r="I4" s="66"/>
      <c r="J4" s="69">
        <f t="shared" ref="J4:J11" si="1">F4*H4</f>
        <v>72528.674400000004</v>
      </c>
      <c r="K4" s="66"/>
      <c r="L4" s="66">
        <f t="shared" ref="L4:L11" si="2">N4/M4</f>
        <v>36.899000000000001</v>
      </c>
      <c r="M4" s="60">
        <f>F4</f>
        <v>1965.6</v>
      </c>
      <c r="N4" s="66">
        <f>J4</f>
        <v>72528.674400000004</v>
      </c>
      <c r="O4" s="60">
        <v>33</v>
      </c>
      <c r="P4" s="60">
        <v>1800</v>
      </c>
      <c r="Q4" s="70"/>
    </row>
    <row r="5" spans="1:17" ht="12.75" customHeight="1" x14ac:dyDescent="0.2">
      <c r="B5" s="71" t="s">
        <v>5</v>
      </c>
      <c r="C5" s="72"/>
      <c r="D5" s="73">
        <v>0</v>
      </c>
      <c r="E5" s="71"/>
      <c r="F5" s="71">
        <f t="shared" si="0"/>
        <v>0</v>
      </c>
      <c r="G5" s="71"/>
      <c r="H5" s="74">
        <v>37</v>
      </c>
      <c r="I5" s="75"/>
      <c r="J5" s="76">
        <f t="shared" si="1"/>
        <v>0</v>
      </c>
      <c r="K5" s="75"/>
      <c r="L5" s="66">
        <f t="shared" si="2"/>
        <v>36.899000000000001</v>
      </c>
      <c r="M5" s="60">
        <f t="shared" ref="M5:M11" si="3">F5+M4</f>
        <v>1965.6</v>
      </c>
      <c r="N5" s="66">
        <f t="shared" ref="N5:N11" si="4">J5+N4</f>
        <v>72528.674400000004</v>
      </c>
      <c r="O5" s="60">
        <v>33</v>
      </c>
      <c r="P5" s="60">
        <v>2250</v>
      </c>
      <c r="Q5" s="70"/>
    </row>
    <row r="6" spans="1:17" ht="12.75" customHeight="1" x14ac:dyDescent="0.2">
      <c r="B6" s="71" t="s">
        <v>6</v>
      </c>
      <c r="C6" s="71"/>
      <c r="D6" s="73">
        <v>0</v>
      </c>
      <c r="E6" s="71"/>
      <c r="F6" s="71">
        <f t="shared" si="0"/>
        <v>0</v>
      </c>
      <c r="G6" s="71"/>
      <c r="H6" s="74">
        <v>37</v>
      </c>
      <c r="I6" s="75"/>
      <c r="J6" s="76">
        <f t="shared" si="1"/>
        <v>0</v>
      </c>
      <c r="K6" s="77"/>
      <c r="L6" s="66">
        <f t="shared" si="2"/>
        <v>36.899000000000001</v>
      </c>
      <c r="M6" s="60">
        <f t="shared" si="3"/>
        <v>1965.6</v>
      </c>
      <c r="N6" s="66">
        <f t="shared" si="4"/>
        <v>72528.674400000004</v>
      </c>
      <c r="O6" s="60">
        <v>40.9</v>
      </c>
      <c r="P6" s="60">
        <v>3100</v>
      </c>
      <c r="Q6" s="70"/>
    </row>
    <row r="7" spans="1:17" ht="12.75" customHeight="1" x14ac:dyDescent="0.2">
      <c r="B7" s="78" t="s">
        <v>7</v>
      </c>
      <c r="C7" s="71"/>
      <c r="D7" s="79">
        <v>0</v>
      </c>
      <c r="E7" s="80"/>
      <c r="F7" s="80">
        <f t="shared" si="0"/>
        <v>0</v>
      </c>
      <c r="G7" s="80"/>
      <c r="H7" s="81">
        <v>74</v>
      </c>
      <c r="I7" s="82"/>
      <c r="J7" s="83">
        <f t="shared" si="1"/>
        <v>0</v>
      </c>
      <c r="K7" s="77"/>
      <c r="L7" s="66">
        <f t="shared" si="2"/>
        <v>36.899000000000001</v>
      </c>
      <c r="M7" s="60">
        <f t="shared" si="3"/>
        <v>1965.6</v>
      </c>
      <c r="N7" s="66">
        <f t="shared" si="4"/>
        <v>72528.674400000004</v>
      </c>
      <c r="O7" s="60">
        <v>46</v>
      </c>
      <c r="P7" s="60">
        <v>3100</v>
      </c>
      <c r="Q7" s="70"/>
    </row>
    <row r="8" spans="1:17" ht="12.75" customHeight="1" x14ac:dyDescent="0.2">
      <c r="B8" s="78" t="s">
        <v>7</v>
      </c>
      <c r="C8" s="78"/>
      <c r="D8" s="84">
        <v>0</v>
      </c>
      <c r="E8" s="78"/>
      <c r="F8" s="80">
        <f t="shared" si="0"/>
        <v>0</v>
      </c>
      <c r="G8" s="78"/>
      <c r="H8" s="85">
        <v>74</v>
      </c>
      <c r="I8" s="86"/>
      <c r="J8" s="87">
        <f t="shared" si="1"/>
        <v>0</v>
      </c>
      <c r="K8" s="88"/>
      <c r="L8" s="66">
        <f t="shared" si="2"/>
        <v>36.899000000000001</v>
      </c>
      <c r="M8" s="60">
        <f t="shared" si="3"/>
        <v>1965.6</v>
      </c>
      <c r="N8" s="66">
        <f t="shared" si="4"/>
        <v>72528.674400000004</v>
      </c>
      <c r="O8" s="60">
        <v>46</v>
      </c>
      <c r="P8" s="60">
        <v>1800</v>
      </c>
      <c r="Q8" s="70"/>
    </row>
    <row r="9" spans="1:17" ht="12.75" customHeight="1" x14ac:dyDescent="0.2">
      <c r="B9" s="89" t="s">
        <v>33</v>
      </c>
      <c r="C9" s="78"/>
      <c r="D9" s="90">
        <v>0</v>
      </c>
      <c r="E9" s="89"/>
      <c r="F9" s="80">
        <f t="shared" si="0"/>
        <v>0</v>
      </c>
      <c r="G9" s="89"/>
      <c r="H9" s="91">
        <v>97</v>
      </c>
      <c r="I9" s="92"/>
      <c r="J9" s="93">
        <f t="shared" si="1"/>
        <v>0</v>
      </c>
      <c r="K9" s="88"/>
      <c r="L9" s="66">
        <f t="shared" si="2"/>
        <v>36.899000000000001</v>
      </c>
      <c r="M9" s="60">
        <f t="shared" si="3"/>
        <v>1965.6</v>
      </c>
      <c r="N9" s="66">
        <f t="shared" si="4"/>
        <v>72528.674400000004</v>
      </c>
      <c r="O9" s="60" t="s">
        <v>9</v>
      </c>
      <c r="P9" s="60" t="s">
        <v>9</v>
      </c>
      <c r="Q9" s="70"/>
    </row>
    <row r="10" spans="1:17" ht="12.75" customHeight="1" x14ac:dyDescent="0.2">
      <c r="B10" s="89" t="s">
        <v>34</v>
      </c>
      <c r="C10" s="89"/>
      <c r="D10" s="90">
        <v>0</v>
      </c>
      <c r="E10" s="89"/>
      <c r="F10" s="89">
        <f t="shared" si="0"/>
        <v>0</v>
      </c>
      <c r="G10" s="89"/>
      <c r="H10" s="91">
        <v>116</v>
      </c>
      <c r="I10" s="92"/>
      <c r="J10" s="93">
        <f t="shared" si="1"/>
        <v>0</v>
      </c>
      <c r="K10" s="82"/>
      <c r="L10" s="66">
        <f t="shared" si="2"/>
        <v>36.899000000000001</v>
      </c>
      <c r="M10" s="60">
        <f t="shared" si="3"/>
        <v>1965.6</v>
      </c>
      <c r="N10" s="66">
        <f t="shared" si="4"/>
        <v>72528.674400000004</v>
      </c>
      <c r="O10" s="60" t="s">
        <v>9</v>
      </c>
      <c r="P10" s="60" t="s">
        <v>9</v>
      </c>
      <c r="Q10" s="70"/>
    </row>
    <row r="11" spans="1:17" ht="12.75" customHeight="1" x14ac:dyDescent="0.2">
      <c r="B11" s="94" t="s">
        <v>35</v>
      </c>
      <c r="C11" s="95"/>
      <c r="D11" s="96">
        <v>88</v>
      </c>
      <c r="E11" s="95"/>
      <c r="F11" s="94">
        <f>6*D11</f>
        <v>528</v>
      </c>
      <c r="G11" s="94"/>
      <c r="H11" s="97">
        <v>46.5</v>
      </c>
      <c r="I11" s="98"/>
      <c r="J11" s="99">
        <f t="shared" si="1"/>
        <v>24552</v>
      </c>
      <c r="K11" s="100"/>
      <c r="L11" s="66">
        <f t="shared" si="2"/>
        <v>38.931935514918194</v>
      </c>
      <c r="M11" s="60">
        <f t="shared" si="3"/>
        <v>2493.6</v>
      </c>
      <c r="N11" s="66">
        <f t="shared" si="4"/>
        <v>97080.674400000004</v>
      </c>
    </row>
    <row r="12" spans="1:17" ht="12.75" customHeight="1" x14ac:dyDescent="0.2">
      <c r="B12" s="101" t="s">
        <v>36</v>
      </c>
      <c r="C12" s="102"/>
      <c r="D12" s="101"/>
      <c r="E12" s="102"/>
      <c r="F12" s="103">
        <f>SUM(F4:F11)</f>
        <v>2493.6</v>
      </c>
      <c r="H12" s="104">
        <f>J12/F12</f>
        <v>38.931935514918194</v>
      </c>
      <c r="I12" s="66"/>
      <c r="J12" s="105">
        <f>SUM(J4:J11)</f>
        <v>97080.674400000004</v>
      </c>
      <c r="K12" s="66"/>
      <c r="L12" s="66">
        <f>L11</f>
        <v>38.931935514918194</v>
      </c>
      <c r="N12" s="66"/>
      <c r="O12" s="60" t="s">
        <v>9</v>
      </c>
      <c r="P12" s="60" t="s">
        <v>9</v>
      </c>
    </row>
    <row r="13" spans="1:17" ht="12.75" customHeight="1" x14ac:dyDescent="0.2">
      <c r="B13" s="106" t="str">
        <f>IF(F12&gt;M15,"Warning: Maximum Gross Weight Exceeded","")</f>
        <v/>
      </c>
      <c r="H13" s="66"/>
      <c r="I13" s="66"/>
      <c r="J13" s="66"/>
      <c r="K13" s="66"/>
      <c r="L13" s="66">
        <f>L12</f>
        <v>38.931935514918194</v>
      </c>
      <c r="N13" s="66"/>
    </row>
    <row r="14" spans="1:17" ht="12.75" customHeight="1" x14ac:dyDescent="0.2">
      <c r="B14" s="106" t="str">
        <f>IF(OR(D9&gt;L16,D10&gt;M16),"Warning: Too Much Baggage","")</f>
        <v/>
      </c>
      <c r="H14" s="66"/>
      <c r="I14" s="66"/>
      <c r="J14" s="66"/>
      <c r="K14" s="66"/>
      <c r="L14" s="66"/>
      <c r="M14" s="60">
        <v>2950</v>
      </c>
      <c r="N14" s="66" t="s">
        <v>37</v>
      </c>
    </row>
    <row r="15" spans="1:17" ht="12.75" customHeight="1" x14ac:dyDescent="0.2">
      <c r="B15" s="106" t="str">
        <f>IF(MAX(L10:L14)&gt;L21,"Warning: C.G. Too Far Aft","")&amp;IF(OR(M23,M24),"Warning: C.G. Too Far Forward","")</f>
        <v/>
      </c>
      <c r="H15" s="66"/>
      <c r="I15" s="66"/>
      <c r="J15" s="66"/>
      <c r="K15" s="66"/>
      <c r="M15" s="107">
        <v>3100</v>
      </c>
      <c r="N15" s="60" t="s">
        <v>11</v>
      </c>
    </row>
    <row r="16" spans="1:17" ht="12.75" customHeight="1" x14ac:dyDescent="0.2">
      <c r="B16" s="106" t="str">
        <f>IF(D11&gt;L17,"Error: Too Much Fuel","")&amp;IF(D11&lt;M17,"Warning: Low Fuel","")</f>
        <v/>
      </c>
      <c r="L16" s="60">
        <v>120</v>
      </c>
      <c r="M16" s="60">
        <v>80</v>
      </c>
      <c r="N16" s="60" t="s">
        <v>12</v>
      </c>
    </row>
    <row r="17" spans="1:256" ht="12.75" customHeight="1" x14ac:dyDescent="0.2">
      <c r="B17" s="106" t="s">
        <v>27</v>
      </c>
      <c r="F17" s="108">
        <f>M15</f>
        <v>3100</v>
      </c>
      <c r="L17" s="60">
        <v>88</v>
      </c>
      <c r="M17" s="60">
        <v>10</v>
      </c>
      <c r="N17" s="60" t="s">
        <v>13</v>
      </c>
    </row>
    <row r="18" spans="1:256" ht="12.75" customHeight="1" x14ac:dyDescent="0.2">
      <c r="B18" s="109" t="s">
        <v>29</v>
      </c>
      <c r="F18" s="110">
        <f>M15-F12</f>
        <v>606.40000000000009</v>
      </c>
      <c r="L18" s="60">
        <v>33</v>
      </c>
      <c r="M18" s="60">
        <v>1800</v>
      </c>
      <c r="N18" s="60" t="s">
        <v>14</v>
      </c>
    </row>
    <row r="19" spans="1:256" ht="12.75" customHeight="1" x14ac:dyDescent="0.2">
      <c r="B19" s="111" t="s">
        <v>38</v>
      </c>
      <c r="F19" s="112">
        <f>MAX(0,F12-M14)</f>
        <v>0</v>
      </c>
      <c r="L19" s="60">
        <v>33</v>
      </c>
      <c r="M19" s="60">
        <v>2250</v>
      </c>
      <c r="N19" s="60" t="s">
        <v>15</v>
      </c>
    </row>
    <row r="20" spans="1:256" ht="12.75" customHeight="1" x14ac:dyDescent="0.2">
      <c r="B20" s="113" t="s">
        <v>28</v>
      </c>
      <c r="L20" s="60">
        <v>40.9</v>
      </c>
      <c r="M20" s="60">
        <v>3100</v>
      </c>
      <c r="N20" s="60" t="s">
        <v>16</v>
      </c>
      <c r="S20" s="60" t="s">
        <v>39</v>
      </c>
      <c r="T20" s="60">
        <f>(M20-M19)/(L20-L19)</f>
        <v>107.59493670886079</v>
      </c>
    </row>
    <row r="21" spans="1:256" ht="12.75" customHeight="1" x14ac:dyDescent="0.2">
      <c r="A21" s="114" t="s">
        <v>30</v>
      </c>
      <c r="L21" s="60">
        <v>46</v>
      </c>
      <c r="M21" s="60">
        <v>3100</v>
      </c>
      <c r="N21" s="60" t="s">
        <v>17</v>
      </c>
    </row>
    <row r="22" spans="1:256" ht="12.75" customHeight="1" x14ac:dyDescent="0.2">
      <c r="M22" s="115" t="b">
        <f>H12&gt;L21</f>
        <v>0</v>
      </c>
      <c r="N22" s="60" t="s">
        <v>18</v>
      </c>
    </row>
    <row r="23" spans="1:256" ht="12.75" customHeight="1" x14ac:dyDescent="0.2">
      <c r="M23" s="60" t="b">
        <f>H12&lt;L18</f>
        <v>0</v>
      </c>
      <c r="N23" s="60" t="s">
        <v>19</v>
      </c>
    </row>
    <row r="24" spans="1:256" ht="12.75" customHeight="1" x14ac:dyDescent="0.2">
      <c r="M24" s="60" t="b">
        <f>AND(H12&gt;L19,H12&lt;L20,F12&gt;M19+(T20*(H12-L19)))</f>
        <v>0</v>
      </c>
      <c r="N24" s="60" t="s">
        <v>20</v>
      </c>
    </row>
    <row r="25" spans="1:256" ht="12.75" customHeight="1" x14ac:dyDescent="0.2"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117"/>
      <c r="AG25" s="117"/>
      <c r="AH25" s="117"/>
      <c r="AI25" s="117"/>
      <c r="AJ25" s="117"/>
      <c r="AK25" s="117"/>
      <c r="AL25" s="117"/>
      <c r="AM25" s="117"/>
      <c r="AN25" s="117"/>
      <c r="AO25" s="117"/>
      <c r="AP25" s="117"/>
      <c r="AQ25" s="117"/>
      <c r="AR25" s="117"/>
      <c r="AS25" s="117"/>
      <c r="AT25" s="117"/>
      <c r="AU25" s="117"/>
      <c r="AV25" s="117"/>
      <c r="AW25" s="117"/>
      <c r="AX25" s="117"/>
      <c r="AY25" s="117"/>
      <c r="AZ25" s="117"/>
      <c r="BA25" s="117"/>
      <c r="BB25" s="117"/>
      <c r="BC25" s="117"/>
      <c r="BD25" s="117"/>
      <c r="BE25" s="117"/>
      <c r="BF25" s="117"/>
      <c r="BG25" s="117"/>
      <c r="BH25" s="117"/>
      <c r="BI25" s="117"/>
      <c r="BJ25" s="117"/>
      <c r="BK25" s="117"/>
      <c r="BL25" s="117"/>
      <c r="BM25" s="117"/>
      <c r="BN25" s="117"/>
      <c r="BO25" s="117"/>
      <c r="BP25" s="117"/>
      <c r="BQ25" s="117"/>
      <c r="BR25" s="117"/>
      <c r="BS25" s="117"/>
      <c r="BT25" s="117"/>
      <c r="BU25" s="117"/>
      <c r="BV25" s="117"/>
      <c r="BW25" s="117"/>
      <c r="BX25" s="117"/>
      <c r="BY25" s="117"/>
      <c r="BZ25" s="117"/>
      <c r="CA25" s="117"/>
      <c r="CB25" s="117"/>
      <c r="CC25" s="117"/>
      <c r="CD25" s="117"/>
      <c r="CE25" s="117"/>
      <c r="CF25" s="117"/>
      <c r="CG25" s="117"/>
      <c r="CH25" s="117"/>
      <c r="CI25" s="117"/>
      <c r="CJ25" s="117"/>
      <c r="CK25" s="117"/>
      <c r="CL25" s="117"/>
      <c r="CM25" s="117"/>
      <c r="CN25" s="117"/>
      <c r="CO25" s="117"/>
      <c r="CP25" s="117"/>
      <c r="CQ25" s="117"/>
      <c r="CR25" s="117"/>
      <c r="CS25" s="117"/>
      <c r="CT25" s="117"/>
      <c r="CU25" s="117"/>
      <c r="CV25" s="117"/>
      <c r="CW25" s="117"/>
      <c r="CX25" s="117"/>
      <c r="CY25" s="117"/>
      <c r="CZ25" s="117"/>
      <c r="DA25" s="117"/>
      <c r="DB25" s="117"/>
      <c r="DC25" s="117"/>
      <c r="DD25" s="117"/>
      <c r="DE25" s="117"/>
      <c r="DF25" s="117"/>
      <c r="DG25" s="117"/>
      <c r="DH25" s="117"/>
      <c r="DI25" s="117"/>
      <c r="DJ25" s="117"/>
      <c r="DK25" s="117"/>
      <c r="DL25" s="117"/>
      <c r="DM25" s="117"/>
      <c r="DN25" s="117"/>
      <c r="DO25" s="117"/>
      <c r="DP25" s="117"/>
      <c r="DQ25" s="117"/>
      <c r="DR25" s="117"/>
      <c r="DS25" s="117"/>
      <c r="DT25" s="117"/>
      <c r="DU25" s="117"/>
      <c r="DV25" s="117"/>
      <c r="DW25" s="117"/>
      <c r="DX25" s="117"/>
      <c r="DY25" s="117"/>
      <c r="DZ25" s="117"/>
      <c r="EA25" s="117"/>
      <c r="EB25" s="117"/>
      <c r="EC25" s="117"/>
      <c r="ED25" s="117"/>
      <c r="EE25" s="117"/>
      <c r="EF25" s="117"/>
      <c r="EG25" s="117"/>
      <c r="EH25" s="117"/>
      <c r="EI25" s="117"/>
      <c r="EJ25" s="117"/>
      <c r="EK25" s="117"/>
      <c r="EL25" s="117"/>
      <c r="EM25" s="117"/>
      <c r="EN25" s="117"/>
      <c r="EO25" s="117"/>
      <c r="EP25" s="117"/>
      <c r="EQ25" s="117"/>
      <c r="ER25" s="117"/>
      <c r="ES25" s="117"/>
      <c r="ET25" s="117"/>
      <c r="EU25" s="117"/>
      <c r="EV25" s="117"/>
      <c r="EW25" s="117"/>
      <c r="EX25" s="117"/>
      <c r="EY25" s="117"/>
      <c r="EZ25" s="117"/>
      <c r="FA25" s="117"/>
      <c r="FB25" s="117"/>
      <c r="FC25" s="117"/>
      <c r="FD25" s="117"/>
      <c r="FE25" s="117"/>
      <c r="FF25" s="117"/>
      <c r="FG25" s="117"/>
      <c r="FH25" s="117"/>
      <c r="FI25" s="117"/>
      <c r="FJ25" s="117"/>
      <c r="FK25" s="117"/>
      <c r="FL25" s="117"/>
      <c r="FM25" s="117"/>
      <c r="FN25" s="117"/>
      <c r="FO25" s="117"/>
      <c r="FP25" s="117"/>
      <c r="FQ25" s="117"/>
      <c r="FR25" s="117"/>
      <c r="FS25" s="117"/>
      <c r="FT25" s="117"/>
      <c r="FU25" s="117"/>
      <c r="FV25" s="117"/>
      <c r="FW25" s="117"/>
      <c r="FX25" s="117"/>
      <c r="FY25" s="117"/>
      <c r="FZ25" s="117"/>
      <c r="GA25" s="117"/>
      <c r="GB25" s="117"/>
      <c r="GC25" s="117"/>
      <c r="GD25" s="117"/>
      <c r="GE25" s="117"/>
      <c r="GF25" s="117"/>
      <c r="GG25" s="117"/>
      <c r="GH25" s="117"/>
      <c r="GI25" s="117"/>
      <c r="GJ25" s="117"/>
      <c r="GK25" s="117"/>
      <c r="GL25" s="117"/>
      <c r="GM25" s="117"/>
      <c r="GN25" s="117"/>
      <c r="GO25" s="117"/>
      <c r="GP25" s="117"/>
      <c r="GQ25" s="117"/>
      <c r="GR25" s="117"/>
      <c r="GS25" s="117"/>
      <c r="GT25" s="117"/>
      <c r="GU25" s="117"/>
      <c r="GV25" s="117"/>
      <c r="GW25" s="117"/>
      <c r="GX25" s="117"/>
      <c r="GY25" s="117"/>
      <c r="GZ25" s="117"/>
      <c r="HA25" s="117"/>
      <c r="HB25" s="117"/>
      <c r="HC25" s="117"/>
      <c r="HD25" s="117"/>
      <c r="HE25" s="117"/>
      <c r="HF25" s="117"/>
      <c r="HG25" s="117"/>
      <c r="HH25" s="117"/>
      <c r="HI25" s="117"/>
      <c r="HJ25" s="117"/>
      <c r="HK25" s="117"/>
      <c r="HL25" s="117"/>
      <c r="HM25" s="117"/>
      <c r="HN25" s="117"/>
      <c r="HO25" s="117"/>
      <c r="HP25" s="117"/>
      <c r="HQ25" s="117"/>
      <c r="HR25" s="117"/>
      <c r="HS25" s="117"/>
      <c r="HT25" s="117"/>
      <c r="HU25" s="117"/>
      <c r="HV25" s="117"/>
      <c r="HW25" s="117"/>
      <c r="HX25" s="117"/>
      <c r="HY25" s="117"/>
      <c r="HZ25" s="117"/>
      <c r="IA25" s="117"/>
      <c r="IB25" s="117"/>
      <c r="IC25" s="117"/>
      <c r="ID25" s="117"/>
      <c r="IE25" s="117"/>
      <c r="IF25" s="117"/>
      <c r="IG25" s="117"/>
      <c r="IH25" s="117"/>
      <c r="II25" s="117"/>
      <c r="IJ25" s="117"/>
      <c r="IK25" s="117"/>
      <c r="IL25" s="117"/>
      <c r="IM25" s="117"/>
      <c r="IN25" s="117"/>
      <c r="IO25" s="117"/>
      <c r="IP25" s="117"/>
      <c r="IQ25" s="117"/>
      <c r="IR25" s="117"/>
      <c r="IS25" s="117"/>
      <c r="IT25" s="117"/>
      <c r="IU25" s="117"/>
      <c r="IV25" s="117"/>
    </row>
  </sheetData>
  <sheetProtection password="CA93" sheet="1" objects="1" scenarios="1"/>
  <phoneticPr fontId="24" type="noConversion"/>
  <conditionalFormatting sqref="F18">
    <cfRule type="cellIs" dxfId="3" priority="1" stopIfTrue="1" operator="greaterThanOrEqual">
      <formula>0</formula>
    </cfRule>
    <cfRule type="cellIs" dxfId="2" priority="2" stopIfTrue="1" operator="lessThan">
      <formula>0</formula>
    </cfRule>
  </conditionalFormatting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V26"/>
  <sheetViews>
    <sheetView tabSelected="1" zoomScale="115" workbookViewId="0">
      <selection activeCell="B4" sqref="B4"/>
    </sheetView>
  </sheetViews>
  <sheetFormatPr defaultRowHeight="11.25" x14ac:dyDescent="0.2"/>
  <cols>
    <col min="1" max="1" width="45.85546875" style="60" customWidth="1"/>
    <col min="2" max="2" width="19.28515625" style="60" customWidth="1"/>
    <col min="3" max="3" width="0.28515625" style="60" customWidth="1"/>
    <col min="4" max="4" width="7.42578125" style="60" customWidth="1"/>
    <col min="5" max="5" width="0.28515625" style="60" customWidth="1"/>
    <col min="6" max="6" width="6.42578125" style="60" customWidth="1"/>
    <col min="7" max="7" width="0.28515625" style="60" customWidth="1"/>
    <col min="8" max="8" width="5.7109375" style="60" customWidth="1"/>
    <col min="9" max="9" width="0.28515625" style="60" customWidth="1"/>
    <col min="10" max="10" width="7.5703125" style="60" customWidth="1"/>
    <col min="11" max="11" width="0.85546875" style="60" customWidth="1"/>
    <col min="12" max="12" width="6.85546875" style="60" customWidth="1"/>
    <col min="13" max="13" width="6.5703125" style="60" customWidth="1"/>
    <col min="14" max="14" width="9" style="60" customWidth="1"/>
    <col min="15" max="17" width="4.42578125" style="60" customWidth="1"/>
    <col min="18" max="18" width="2.7109375" style="60" customWidth="1"/>
    <col min="19" max="19" width="4.85546875" style="60" bestFit="1" customWidth="1"/>
    <col min="20" max="20" width="3.5703125" style="60" bestFit="1" customWidth="1"/>
    <col min="21" max="16384" width="9.140625" style="60"/>
  </cols>
  <sheetData>
    <row r="1" spans="1:17" ht="24" customHeight="1" x14ac:dyDescent="0.35">
      <c r="A1" s="58"/>
      <c r="B1" s="58"/>
      <c r="C1" s="58"/>
      <c r="D1" s="58"/>
      <c r="E1" s="59" t="s">
        <v>41</v>
      </c>
      <c r="H1" s="58"/>
      <c r="I1" s="58"/>
      <c r="J1" s="58"/>
    </row>
    <row r="2" spans="1:17" ht="12.75" customHeight="1" x14ac:dyDescent="0.2">
      <c r="A2" s="58"/>
      <c r="B2" s="58"/>
      <c r="C2" s="58"/>
      <c r="D2" s="58"/>
      <c r="E2" s="58"/>
      <c r="F2" s="58"/>
      <c r="G2" s="58"/>
      <c r="H2" s="58"/>
      <c r="I2" s="58"/>
      <c r="J2" s="58"/>
    </row>
    <row r="3" spans="1:17" ht="12.75" customHeight="1" x14ac:dyDescent="0.2">
      <c r="B3" s="61" t="s">
        <v>45</v>
      </c>
      <c r="C3" s="62"/>
      <c r="D3" s="63" t="s">
        <v>0</v>
      </c>
      <c r="F3" s="63" t="s">
        <v>1</v>
      </c>
      <c r="G3" s="64"/>
      <c r="H3" s="63" t="s">
        <v>2</v>
      </c>
      <c r="I3" s="64"/>
      <c r="J3" s="63" t="s">
        <v>3</v>
      </c>
      <c r="K3" s="65"/>
      <c r="L3" s="66">
        <f>L4</f>
        <v>38.216227487163451</v>
      </c>
      <c r="M3" s="66">
        <f>M4</f>
        <v>1918.35</v>
      </c>
    </row>
    <row r="4" spans="1:17" ht="12.75" customHeight="1" x14ac:dyDescent="0.2">
      <c r="B4" s="60" t="s">
        <v>4</v>
      </c>
      <c r="C4" s="62"/>
      <c r="D4" s="60">
        <v>1918.35</v>
      </c>
      <c r="F4" s="67">
        <f t="shared" ref="F4:F10" si="0">D4</f>
        <v>1918.35</v>
      </c>
      <c r="H4" s="68">
        <f>J4/D4</f>
        <v>38.216227487163451</v>
      </c>
      <c r="I4" s="66"/>
      <c r="J4" s="69">
        <v>73312.100000000006</v>
      </c>
      <c r="K4" s="66"/>
      <c r="L4" s="66">
        <f t="shared" ref="L4:L11" si="1">N4/M4</f>
        <v>38.216227487163451</v>
      </c>
      <c r="M4" s="60">
        <f>F4</f>
        <v>1918.35</v>
      </c>
      <c r="N4" s="66">
        <f>J4</f>
        <v>73312.100000000006</v>
      </c>
      <c r="O4" s="60">
        <v>33</v>
      </c>
      <c r="P4" s="60">
        <v>1800</v>
      </c>
      <c r="Q4" s="70"/>
    </row>
    <row r="5" spans="1:17" ht="12.75" customHeight="1" x14ac:dyDescent="0.2">
      <c r="B5" s="71" t="s">
        <v>5</v>
      </c>
      <c r="C5" s="72"/>
      <c r="D5" s="73">
        <v>0</v>
      </c>
      <c r="E5" s="71"/>
      <c r="F5" s="71">
        <f t="shared" si="0"/>
        <v>0</v>
      </c>
      <c r="G5" s="71"/>
      <c r="H5" s="74">
        <v>37</v>
      </c>
      <c r="I5" s="75"/>
      <c r="J5" s="76">
        <f t="shared" ref="J5:J11" si="2">F5*H5</f>
        <v>0</v>
      </c>
      <c r="K5" s="75"/>
      <c r="L5" s="66">
        <f t="shared" si="1"/>
        <v>38.216227487163451</v>
      </c>
      <c r="M5" s="60">
        <f t="shared" ref="M5:M11" si="3">F5+M4</f>
        <v>1918.35</v>
      </c>
      <c r="N5" s="66">
        <f t="shared" ref="N5:N11" si="4">J5+N4</f>
        <v>73312.100000000006</v>
      </c>
      <c r="O5" s="60">
        <v>33</v>
      </c>
      <c r="P5" s="60">
        <v>2260</v>
      </c>
      <c r="Q5" s="70"/>
    </row>
    <row r="6" spans="1:17" ht="12.75" customHeight="1" x14ac:dyDescent="0.2">
      <c r="B6" s="71" t="s">
        <v>6</v>
      </c>
      <c r="C6" s="71"/>
      <c r="D6" s="73">
        <v>0</v>
      </c>
      <c r="E6" s="71"/>
      <c r="F6" s="71">
        <f t="shared" si="0"/>
        <v>0</v>
      </c>
      <c r="G6" s="71"/>
      <c r="H6" s="74">
        <v>37</v>
      </c>
      <c r="I6" s="75"/>
      <c r="J6" s="76">
        <f t="shared" si="2"/>
        <v>0</v>
      </c>
      <c r="K6" s="77"/>
      <c r="L6" s="66">
        <f t="shared" si="1"/>
        <v>38.216227487163451</v>
      </c>
      <c r="M6" s="60">
        <f t="shared" si="3"/>
        <v>1918.35</v>
      </c>
      <c r="N6" s="66">
        <f t="shared" si="4"/>
        <v>73312.100000000006</v>
      </c>
      <c r="O6" s="60">
        <v>35.5</v>
      </c>
      <c r="P6" s="60">
        <v>2700</v>
      </c>
      <c r="Q6" s="70"/>
    </row>
    <row r="7" spans="1:17" ht="12.75" customHeight="1" x14ac:dyDescent="0.2">
      <c r="B7" s="78" t="s">
        <v>7</v>
      </c>
      <c r="C7" s="71"/>
      <c r="D7" s="79">
        <v>0</v>
      </c>
      <c r="E7" s="80"/>
      <c r="F7" s="80">
        <f t="shared" si="0"/>
        <v>0</v>
      </c>
      <c r="G7" s="80"/>
      <c r="H7" s="81">
        <v>74</v>
      </c>
      <c r="I7" s="82"/>
      <c r="J7" s="83">
        <f t="shared" si="2"/>
        <v>0</v>
      </c>
      <c r="K7" s="77"/>
      <c r="L7" s="66">
        <f t="shared" si="1"/>
        <v>38.216227487163451</v>
      </c>
      <c r="M7" s="60">
        <f t="shared" si="3"/>
        <v>1918.35</v>
      </c>
      <c r="N7" s="66">
        <f t="shared" si="4"/>
        <v>73312.100000000006</v>
      </c>
      <c r="O7" s="60">
        <v>40.9</v>
      </c>
      <c r="P7" s="60">
        <v>3100</v>
      </c>
      <c r="Q7" s="70"/>
    </row>
    <row r="8" spans="1:17" ht="12.75" customHeight="1" x14ac:dyDescent="0.2">
      <c r="B8" s="78" t="s">
        <v>7</v>
      </c>
      <c r="C8" s="78"/>
      <c r="D8" s="84">
        <v>0</v>
      </c>
      <c r="E8" s="78"/>
      <c r="F8" s="80">
        <f t="shared" si="0"/>
        <v>0</v>
      </c>
      <c r="G8" s="78"/>
      <c r="H8" s="85">
        <v>74</v>
      </c>
      <c r="I8" s="86"/>
      <c r="J8" s="87">
        <f t="shared" si="2"/>
        <v>0</v>
      </c>
      <c r="K8" s="88"/>
      <c r="L8" s="66">
        <f t="shared" si="1"/>
        <v>38.216227487163451</v>
      </c>
      <c r="M8" s="60">
        <f t="shared" si="3"/>
        <v>1918.35</v>
      </c>
      <c r="N8" s="66">
        <f t="shared" si="4"/>
        <v>73312.100000000006</v>
      </c>
      <c r="O8" s="60">
        <v>46</v>
      </c>
      <c r="P8" s="60">
        <v>3100</v>
      </c>
      <c r="Q8" s="70"/>
    </row>
    <row r="9" spans="1:17" ht="12.75" customHeight="1" x14ac:dyDescent="0.2">
      <c r="B9" s="89" t="s">
        <v>33</v>
      </c>
      <c r="C9" s="78"/>
      <c r="D9" s="90">
        <v>0</v>
      </c>
      <c r="E9" s="89"/>
      <c r="F9" s="80">
        <f t="shared" si="0"/>
        <v>0</v>
      </c>
      <c r="G9" s="89"/>
      <c r="H9" s="91">
        <v>97</v>
      </c>
      <c r="I9" s="92"/>
      <c r="J9" s="93">
        <f t="shared" si="2"/>
        <v>0</v>
      </c>
      <c r="K9" s="88"/>
      <c r="L9" s="66">
        <f t="shared" si="1"/>
        <v>38.216227487163451</v>
      </c>
      <c r="M9" s="60">
        <f t="shared" si="3"/>
        <v>1918.35</v>
      </c>
      <c r="N9" s="66">
        <f t="shared" si="4"/>
        <v>73312.100000000006</v>
      </c>
      <c r="O9" s="60">
        <v>46</v>
      </c>
      <c r="P9" s="60">
        <v>1800</v>
      </c>
      <c r="Q9" s="70"/>
    </row>
    <row r="10" spans="1:17" ht="12.75" customHeight="1" x14ac:dyDescent="0.2">
      <c r="B10" s="89" t="s">
        <v>34</v>
      </c>
      <c r="C10" s="89"/>
      <c r="D10" s="90">
        <v>0</v>
      </c>
      <c r="E10" s="89"/>
      <c r="F10" s="89">
        <f t="shared" si="0"/>
        <v>0</v>
      </c>
      <c r="G10" s="89"/>
      <c r="H10" s="91">
        <v>121</v>
      </c>
      <c r="I10" s="92"/>
      <c r="J10" s="93">
        <f t="shared" si="2"/>
        <v>0</v>
      </c>
      <c r="K10" s="82"/>
      <c r="L10" s="66">
        <f t="shared" si="1"/>
        <v>38.216227487163451</v>
      </c>
      <c r="M10" s="60">
        <f t="shared" si="3"/>
        <v>1918.35</v>
      </c>
      <c r="N10" s="66">
        <f t="shared" si="4"/>
        <v>73312.100000000006</v>
      </c>
      <c r="O10" s="60" t="s">
        <v>9</v>
      </c>
      <c r="P10" s="60" t="s">
        <v>9</v>
      </c>
      <c r="Q10" s="70"/>
    </row>
    <row r="11" spans="1:17" ht="12.75" customHeight="1" x14ac:dyDescent="0.2">
      <c r="B11" s="94" t="s">
        <v>35</v>
      </c>
      <c r="C11" s="95"/>
      <c r="D11" s="96">
        <v>88</v>
      </c>
      <c r="E11" s="95"/>
      <c r="F11" s="94">
        <f>6*D11</f>
        <v>528</v>
      </c>
      <c r="G11" s="94"/>
      <c r="H11" s="97">
        <v>46.59</v>
      </c>
      <c r="I11" s="98"/>
      <c r="J11" s="99">
        <f t="shared" si="2"/>
        <v>24599.52</v>
      </c>
      <c r="K11" s="100"/>
      <c r="L11" s="66">
        <f t="shared" si="1"/>
        <v>40.023553457191333</v>
      </c>
      <c r="M11" s="60">
        <f t="shared" si="3"/>
        <v>2446.35</v>
      </c>
      <c r="N11" s="66">
        <f t="shared" si="4"/>
        <v>97911.62000000001</v>
      </c>
      <c r="O11" s="60" t="s">
        <v>9</v>
      </c>
      <c r="P11" s="60" t="s">
        <v>9</v>
      </c>
    </row>
    <row r="12" spans="1:17" ht="12.75" customHeight="1" x14ac:dyDescent="0.2">
      <c r="B12" s="101" t="s">
        <v>36</v>
      </c>
      <c r="C12" s="102"/>
      <c r="D12" s="101"/>
      <c r="E12" s="102"/>
      <c r="F12" s="103">
        <f>SUM(F4:F11)</f>
        <v>2446.35</v>
      </c>
      <c r="H12" s="104">
        <f>J12/F12</f>
        <v>40.023553457191333</v>
      </c>
      <c r="I12" s="66"/>
      <c r="J12" s="105">
        <f>SUM(J4:J11)</f>
        <v>97911.62000000001</v>
      </c>
      <c r="K12" s="66"/>
      <c r="L12" s="66">
        <f>L11</f>
        <v>40.023553457191333</v>
      </c>
      <c r="N12" s="66"/>
    </row>
    <row r="13" spans="1:17" ht="12.75" customHeight="1" x14ac:dyDescent="0.2">
      <c r="B13" s="106" t="str">
        <f>IF(F12&gt;M15,"Warning: Maximum Gross Weight Exceeded","")</f>
        <v/>
      </c>
      <c r="H13" s="66"/>
      <c r="I13" s="66"/>
      <c r="J13" s="66"/>
      <c r="K13" s="66"/>
      <c r="L13" s="66">
        <f>L12</f>
        <v>40.023553457191333</v>
      </c>
      <c r="N13" s="66"/>
      <c r="O13" s="60" t="s">
        <v>9</v>
      </c>
      <c r="P13" s="60" t="s">
        <v>9</v>
      </c>
    </row>
    <row r="14" spans="1:17" ht="12.75" customHeight="1" x14ac:dyDescent="0.2">
      <c r="B14" s="106" t="str">
        <f>IF(OR(D9&gt;L16,D10&gt;M16),"Warning: Too Much Baggage","")</f>
        <v/>
      </c>
      <c r="H14" s="66"/>
      <c r="I14" s="66"/>
      <c r="J14" s="66"/>
      <c r="K14" s="66"/>
      <c r="L14" s="66"/>
      <c r="N14" s="66"/>
    </row>
    <row r="15" spans="1:17" ht="12.75" customHeight="1" x14ac:dyDescent="0.2">
      <c r="B15" s="106" t="str">
        <f>IF(MAX(L10:L14)&gt;L22,"Warning: C.G. Too Far Aft","")&amp;IF(OR(M24,M25,M26),"Warning: C.G. Too Far Forward","")</f>
        <v/>
      </c>
      <c r="H15" s="66"/>
      <c r="I15" s="66"/>
      <c r="J15" s="66"/>
      <c r="K15" s="66"/>
      <c r="M15" s="107">
        <v>3100</v>
      </c>
      <c r="N15" s="60" t="s">
        <v>11</v>
      </c>
    </row>
    <row r="16" spans="1:17" ht="12.75" customHeight="1" x14ac:dyDescent="0.2">
      <c r="B16" s="106" t="str">
        <f>IF(D11&gt;L17,"Error: Too Much Fuel","")&amp;IF(D11&lt;M17,"Warning: Low Fuel","")</f>
        <v/>
      </c>
      <c r="L16" s="60">
        <v>120</v>
      </c>
      <c r="M16" s="60">
        <v>80</v>
      </c>
      <c r="N16" s="60" t="s">
        <v>12</v>
      </c>
    </row>
    <row r="17" spans="1:256" ht="12.75" customHeight="1" x14ac:dyDescent="0.2">
      <c r="B17" s="106" t="s">
        <v>27</v>
      </c>
      <c r="F17" s="108">
        <f>M15</f>
        <v>3100</v>
      </c>
      <c r="L17" s="60">
        <v>88</v>
      </c>
      <c r="M17" s="60">
        <v>10</v>
      </c>
      <c r="N17" s="60" t="s">
        <v>13</v>
      </c>
    </row>
    <row r="18" spans="1:256" ht="12.75" customHeight="1" x14ac:dyDescent="0.2">
      <c r="B18" s="109" t="s">
        <v>29</v>
      </c>
      <c r="F18" s="110">
        <f>M15-F12</f>
        <v>653.65000000000009</v>
      </c>
      <c r="L18" s="60">
        <v>33</v>
      </c>
      <c r="M18" s="60">
        <v>1800</v>
      </c>
      <c r="N18" s="60" t="s">
        <v>14</v>
      </c>
    </row>
    <row r="19" spans="1:256" ht="12.75" customHeight="1" x14ac:dyDescent="0.2">
      <c r="B19" s="113" t="s">
        <v>28</v>
      </c>
      <c r="F19" s="112"/>
      <c r="L19" s="60">
        <v>33</v>
      </c>
      <c r="M19" s="60">
        <v>2260</v>
      </c>
      <c r="N19" s="60" t="s">
        <v>15</v>
      </c>
    </row>
    <row r="20" spans="1:256" ht="12.75" customHeight="1" x14ac:dyDescent="0.2">
      <c r="L20" s="60">
        <v>35.5</v>
      </c>
      <c r="M20" s="60">
        <v>2700</v>
      </c>
      <c r="N20" s="60" t="s">
        <v>16</v>
      </c>
      <c r="S20" s="60" t="s">
        <v>39</v>
      </c>
      <c r="T20" s="107">
        <f>(M20-M19)/(L20-L19)</f>
        <v>176</v>
      </c>
    </row>
    <row r="21" spans="1:256" ht="12.75" customHeight="1" x14ac:dyDescent="0.2">
      <c r="A21" s="114" t="s">
        <v>30</v>
      </c>
      <c r="L21" s="60">
        <v>40.9</v>
      </c>
      <c r="M21" s="60">
        <v>3100</v>
      </c>
      <c r="N21" s="60" t="s">
        <v>17</v>
      </c>
      <c r="S21" s="60" t="s">
        <v>39</v>
      </c>
      <c r="T21" s="107">
        <f>(M21-M20)/(L21-L20)</f>
        <v>74.07407407407409</v>
      </c>
    </row>
    <row r="22" spans="1:256" ht="12.75" customHeight="1" x14ac:dyDescent="0.2">
      <c r="L22" s="60">
        <v>46</v>
      </c>
      <c r="M22" s="60">
        <v>3100</v>
      </c>
      <c r="N22" s="116" t="s">
        <v>42</v>
      </c>
    </row>
    <row r="23" spans="1:256" ht="12.75" customHeight="1" x14ac:dyDescent="0.2">
      <c r="M23" s="115" t="b">
        <f>H12&gt;L22</f>
        <v>0</v>
      </c>
      <c r="N23" s="60" t="s">
        <v>18</v>
      </c>
    </row>
    <row r="24" spans="1:256" ht="12.75" customHeight="1" x14ac:dyDescent="0.2">
      <c r="M24" s="60" t="b">
        <f>H12&lt;L18</f>
        <v>0</v>
      </c>
      <c r="N24" s="60" t="s">
        <v>19</v>
      </c>
    </row>
    <row r="25" spans="1:256" ht="12.75" customHeight="1" x14ac:dyDescent="0.2">
      <c r="M25" s="60" t="b">
        <f>AND(H12&gt;L19,H12&lt;L20,F12&gt;M19+(T20*(H12-L19)))</f>
        <v>0</v>
      </c>
      <c r="N25" s="60" t="s">
        <v>20</v>
      </c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117"/>
      <c r="AG25" s="117"/>
      <c r="AH25" s="117"/>
      <c r="AI25" s="117"/>
      <c r="AJ25" s="117"/>
      <c r="AK25" s="117"/>
      <c r="AL25" s="117"/>
      <c r="AM25" s="117"/>
      <c r="AN25" s="117"/>
      <c r="AO25" s="117"/>
      <c r="AP25" s="117"/>
      <c r="AQ25" s="117"/>
      <c r="AR25" s="117"/>
      <c r="AS25" s="117"/>
      <c r="AT25" s="117"/>
      <c r="AU25" s="117"/>
      <c r="AV25" s="117"/>
      <c r="AW25" s="117"/>
      <c r="AX25" s="117"/>
      <c r="AY25" s="117"/>
      <c r="AZ25" s="117"/>
      <c r="BA25" s="117"/>
      <c r="BB25" s="117"/>
      <c r="BC25" s="117"/>
      <c r="BD25" s="117"/>
      <c r="BE25" s="117"/>
      <c r="BF25" s="117"/>
      <c r="BG25" s="117"/>
      <c r="BH25" s="117"/>
      <c r="BI25" s="117"/>
      <c r="BJ25" s="117"/>
      <c r="BK25" s="117"/>
      <c r="BL25" s="117"/>
      <c r="BM25" s="117"/>
      <c r="BN25" s="117"/>
      <c r="BO25" s="117"/>
      <c r="BP25" s="117"/>
      <c r="BQ25" s="117"/>
      <c r="BR25" s="117"/>
      <c r="BS25" s="117"/>
      <c r="BT25" s="117"/>
      <c r="BU25" s="117"/>
      <c r="BV25" s="117"/>
      <c r="BW25" s="117"/>
      <c r="BX25" s="117"/>
      <c r="BY25" s="117"/>
      <c r="BZ25" s="117"/>
      <c r="CA25" s="117"/>
      <c r="CB25" s="117"/>
      <c r="CC25" s="117"/>
      <c r="CD25" s="117"/>
      <c r="CE25" s="117"/>
      <c r="CF25" s="117"/>
      <c r="CG25" s="117"/>
      <c r="CH25" s="117"/>
      <c r="CI25" s="117"/>
      <c r="CJ25" s="117"/>
      <c r="CK25" s="117"/>
      <c r="CL25" s="117"/>
      <c r="CM25" s="117"/>
      <c r="CN25" s="117"/>
      <c r="CO25" s="117"/>
      <c r="CP25" s="117"/>
      <c r="CQ25" s="117"/>
      <c r="CR25" s="117"/>
      <c r="CS25" s="117"/>
      <c r="CT25" s="117"/>
      <c r="CU25" s="117"/>
      <c r="CV25" s="117"/>
      <c r="CW25" s="117"/>
      <c r="CX25" s="117"/>
      <c r="CY25" s="117"/>
      <c r="CZ25" s="117"/>
      <c r="DA25" s="117"/>
      <c r="DB25" s="117"/>
      <c r="DC25" s="117"/>
      <c r="DD25" s="117"/>
      <c r="DE25" s="117"/>
      <c r="DF25" s="117"/>
      <c r="DG25" s="117"/>
      <c r="DH25" s="117"/>
      <c r="DI25" s="117"/>
      <c r="DJ25" s="117"/>
      <c r="DK25" s="117"/>
      <c r="DL25" s="117"/>
      <c r="DM25" s="117"/>
      <c r="DN25" s="117"/>
      <c r="DO25" s="117"/>
      <c r="DP25" s="117"/>
      <c r="DQ25" s="117"/>
      <c r="DR25" s="117"/>
      <c r="DS25" s="117"/>
      <c r="DT25" s="117"/>
      <c r="DU25" s="117"/>
      <c r="DV25" s="117"/>
      <c r="DW25" s="117"/>
      <c r="DX25" s="117"/>
      <c r="DY25" s="117"/>
      <c r="DZ25" s="117"/>
      <c r="EA25" s="117"/>
      <c r="EB25" s="117"/>
      <c r="EC25" s="117"/>
      <c r="ED25" s="117"/>
      <c r="EE25" s="117"/>
      <c r="EF25" s="117"/>
      <c r="EG25" s="117"/>
      <c r="EH25" s="117"/>
      <c r="EI25" s="117"/>
      <c r="EJ25" s="117"/>
      <c r="EK25" s="117"/>
      <c r="EL25" s="117"/>
      <c r="EM25" s="117"/>
      <c r="EN25" s="117"/>
      <c r="EO25" s="117"/>
      <c r="EP25" s="117"/>
      <c r="EQ25" s="117"/>
      <c r="ER25" s="117"/>
      <c r="ES25" s="117"/>
      <c r="ET25" s="117"/>
      <c r="EU25" s="117"/>
      <c r="EV25" s="117"/>
      <c r="EW25" s="117"/>
      <c r="EX25" s="117"/>
      <c r="EY25" s="117"/>
      <c r="EZ25" s="117"/>
      <c r="FA25" s="117"/>
      <c r="FB25" s="117"/>
      <c r="FC25" s="117"/>
      <c r="FD25" s="117"/>
      <c r="FE25" s="117"/>
      <c r="FF25" s="117"/>
      <c r="FG25" s="117"/>
      <c r="FH25" s="117"/>
      <c r="FI25" s="117"/>
      <c r="FJ25" s="117"/>
      <c r="FK25" s="117"/>
      <c r="FL25" s="117"/>
      <c r="FM25" s="117"/>
      <c r="FN25" s="117"/>
      <c r="FO25" s="117"/>
      <c r="FP25" s="117"/>
      <c r="FQ25" s="117"/>
      <c r="FR25" s="117"/>
      <c r="FS25" s="117"/>
      <c r="FT25" s="117"/>
      <c r="FU25" s="117"/>
      <c r="FV25" s="117"/>
      <c r="FW25" s="117"/>
      <c r="FX25" s="117"/>
      <c r="FY25" s="117"/>
      <c r="FZ25" s="117"/>
      <c r="GA25" s="117"/>
      <c r="GB25" s="117"/>
      <c r="GC25" s="117"/>
      <c r="GD25" s="117"/>
      <c r="GE25" s="117"/>
      <c r="GF25" s="117"/>
      <c r="GG25" s="117"/>
      <c r="GH25" s="117"/>
      <c r="GI25" s="117"/>
      <c r="GJ25" s="117"/>
      <c r="GK25" s="117"/>
      <c r="GL25" s="117"/>
      <c r="GM25" s="117"/>
      <c r="GN25" s="117"/>
      <c r="GO25" s="117"/>
      <c r="GP25" s="117"/>
      <c r="GQ25" s="117"/>
      <c r="GR25" s="117"/>
      <c r="GS25" s="117"/>
      <c r="GT25" s="117"/>
      <c r="GU25" s="117"/>
      <c r="GV25" s="117"/>
      <c r="GW25" s="117"/>
      <c r="GX25" s="117"/>
      <c r="GY25" s="117"/>
      <c r="GZ25" s="117"/>
      <c r="HA25" s="117"/>
      <c r="HB25" s="117"/>
      <c r="HC25" s="117"/>
      <c r="HD25" s="117"/>
      <c r="HE25" s="117"/>
      <c r="HF25" s="117"/>
      <c r="HG25" s="117"/>
      <c r="HH25" s="117"/>
      <c r="HI25" s="117"/>
      <c r="HJ25" s="117"/>
      <c r="HK25" s="117"/>
      <c r="HL25" s="117"/>
      <c r="HM25" s="117"/>
      <c r="HN25" s="117"/>
      <c r="HO25" s="117"/>
      <c r="HP25" s="117"/>
      <c r="HQ25" s="117"/>
      <c r="HR25" s="117"/>
      <c r="HS25" s="117"/>
      <c r="HT25" s="117"/>
      <c r="HU25" s="117"/>
      <c r="HV25" s="117"/>
      <c r="HW25" s="117"/>
      <c r="HX25" s="117"/>
      <c r="HY25" s="117"/>
      <c r="HZ25" s="117"/>
      <c r="IA25" s="117"/>
      <c r="IB25" s="117"/>
      <c r="IC25" s="117"/>
      <c r="ID25" s="117"/>
      <c r="IE25" s="117"/>
      <c r="IF25" s="117"/>
      <c r="IG25" s="117"/>
      <c r="IH25" s="117"/>
      <c r="II25" s="117"/>
      <c r="IJ25" s="117"/>
      <c r="IK25" s="117"/>
      <c r="IL25" s="117"/>
      <c r="IM25" s="117"/>
      <c r="IN25" s="117"/>
      <c r="IO25" s="117"/>
      <c r="IP25" s="117"/>
      <c r="IQ25" s="117"/>
      <c r="IR25" s="117"/>
      <c r="IS25" s="117"/>
      <c r="IT25" s="117"/>
      <c r="IU25" s="117"/>
      <c r="IV25" s="117"/>
    </row>
    <row r="26" spans="1:256" x14ac:dyDescent="0.2">
      <c r="M26" s="60" t="b">
        <f>AND(H12&gt;L20,H12&lt;L21,F12&gt;M20+(T21*(H12-L20)))</f>
        <v>0</v>
      </c>
      <c r="N26" s="116" t="s">
        <v>24</v>
      </c>
    </row>
  </sheetData>
  <sheetProtection algorithmName="SHA-512" hashValue="Tn0a8jobjXTC96UbzhLsPRQk5vVg1NZgMN6ckyXyMu1UAHh+fNexDiXMyWhSMOy5ka1X/vvgUl4h5IBAfCO7Yg==" saltValue="jyfAQEUT1q4kM4O3n3viKw==" spinCount="100000" sheet="1" objects="1" scenarios="1"/>
  <phoneticPr fontId="24" type="noConversion"/>
  <conditionalFormatting sqref="F18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/>
  </sheetViews>
  <sheetFormatPr defaultRowHeight="12.75" x14ac:dyDescent="0.2"/>
  <sheetData>
    <row r="1" spans="1:11" x14ac:dyDescent="0.2">
      <c r="A1" s="46" t="s">
        <v>43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x14ac:dyDescent="0.2">
      <c r="A2" s="46" t="s">
        <v>44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1" x14ac:dyDescent="0.2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11" x14ac:dyDescent="0.2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</row>
    <row r="5" spans="1:11" x14ac:dyDescent="0.2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</row>
    <row r="6" spans="1:11" x14ac:dyDescent="0.2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1:11" x14ac:dyDescent="0.2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</row>
    <row r="8" spans="1:11" x14ac:dyDescent="0.2">
      <c r="A8" s="46"/>
      <c r="B8" s="46"/>
      <c r="C8" s="46"/>
      <c r="D8" s="46"/>
      <c r="E8" s="46"/>
      <c r="F8" s="46"/>
      <c r="G8" s="46"/>
      <c r="H8" s="46"/>
      <c r="I8" s="46"/>
      <c r="J8" s="46"/>
      <c r="K8" s="46"/>
    </row>
    <row r="9" spans="1:11" x14ac:dyDescent="0.2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</row>
    <row r="10" spans="1:11" x14ac:dyDescent="0.2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</row>
    <row r="11" spans="1:11" x14ac:dyDescent="0.2">
      <c r="A11" s="46"/>
      <c r="B11" s="46"/>
      <c r="C11" s="46"/>
      <c r="D11" s="46"/>
      <c r="E11" s="46"/>
      <c r="F11" s="46"/>
      <c r="G11" s="46"/>
      <c r="H11" s="46"/>
      <c r="I11" s="46"/>
      <c r="J11" s="46"/>
      <c r="K11" s="46"/>
    </row>
    <row r="12" spans="1:11" x14ac:dyDescent="0.2">
      <c r="A12" s="46"/>
      <c r="B12" s="46"/>
      <c r="C12" s="46"/>
      <c r="D12" s="46"/>
      <c r="E12" s="46"/>
      <c r="F12" s="46"/>
      <c r="G12" s="46"/>
      <c r="H12" s="46"/>
      <c r="I12" s="46"/>
      <c r="J12" s="46"/>
      <c r="K12" s="46"/>
    </row>
    <row r="13" spans="1:11" x14ac:dyDescent="0.2">
      <c r="A13" s="46"/>
      <c r="B13" s="46"/>
      <c r="C13" s="46"/>
      <c r="D13" s="46"/>
      <c r="E13" s="46"/>
      <c r="F13" s="46"/>
      <c r="G13" s="46"/>
      <c r="H13" s="46"/>
      <c r="I13" s="46"/>
      <c r="J13" s="46"/>
      <c r="K13" s="46"/>
    </row>
    <row r="14" spans="1:11" x14ac:dyDescent="0.2">
      <c r="A14" s="46"/>
      <c r="B14" s="46"/>
      <c r="C14" s="46"/>
      <c r="D14" s="46"/>
      <c r="E14" s="46"/>
      <c r="F14" s="46"/>
      <c r="G14" s="46"/>
      <c r="H14" s="46"/>
      <c r="I14" s="46"/>
      <c r="J14" s="46"/>
      <c r="K14" s="46"/>
    </row>
    <row r="15" spans="1:11" x14ac:dyDescent="0.2">
      <c r="A15" s="46"/>
      <c r="B15" s="46"/>
      <c r="C15" s="46"/>
      <c r="D15" s="46"/>
      <c r="E15" s="46"/>
      <c r="F15" s="46"/>
      <c r="G15" s="46"/>
      <c r="H15" s="46"/>
      <c r="I15" s="46"/>
      <c r="J15" s="46"/>
      <c r="K15" s="46"/>
    </row>
    <row r="16" spans="1:11" x14ac:dyDescent="0.2">
      <c r="A16" s="46"/>
      <c r="B16" s="46"/>
      <c r="C16" s="46"/>
      <c r="D16" s="46"/>
      <c r="E16" s="46"/>
      <c r="F16" s="46"/>
      <c r="G16" s="46"/>
      <c r="H16" s="46"/>
      <c r="I16" s="46"/>
      <c r="J16" s="46"/>
      <c r="K16" s="46"/>
    </row>
    <row r="17" spans="1:11" x14ac:dyDescent="0.2">
      <c r="A17" s="46"/>
      <c r="B17" s="46"/>
      <c r="C17" s="46"/>
      <c r="D17" s="46"/>
      <c r="E17" s="46"/>
      <c r="F17" s="46"/>
      <c r="G17" s="46"/>
      <c r="H17" s="46"/>
      <c r="I17" s="46"/>
      <c r="J17" s="46"/>
      <c r="K17" s="46"/>
    </row>
    <row r="18" spans="1:11" x14ac:dyDescent="0.2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46"/>
    </row>
    <row r="19" spans="1:11" x14ac:dyDescent="0.2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</row>
    <row r="20" spans="1:11" x14ac:dyDescent="0.2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6"/>
    </row>
    <row r="21" spans="1:11" x14ac:dyDescent="0.2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</row>
    <row r="22" spans="1:11" x14ac:dyDescent="0.2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</row>
    <row r="23" spans="1:11" x14ac:dyDescent="0.2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</row>
    <row r="24" spans="1:11" x14ac:dyDescent="0.2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</row>
    <row r="25" spans="1:11" x14ac:dyDescent="0.2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</row>
    <row r="26" spans="1:11" x14ac:dyDescent="0.2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</row>
    <row r="27" spans="1:11" x14ac:dyDescent="0.2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</row>
  </sheetData>
  <sheetProtection password="CA93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N52126</vt:lpstr>
      <vt:lpstr>N711DA</vt:lpstr>
      <vt:lpstr>N931SJ</vt:lpstr>
      <vt:lpstr>N405JH</vt:lpstr>
      <vt:lpstr>Info</vt:lpstr>
      <vt:lpstr>'N52126'!Print_Area</vt:lpstr>
      <vt:lpstr>N711DA!Print_Area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Cessna 172P N52126</dc:title>
  <dc:subject>Weight &amp; Balance</dc:subject>
  <dc:creator>David Yacono</dc:creator>
  <cp:keywords/>
  <dc:description/>
  <cp:lastModifiedBy>David Yacono</cp:lastModifiedBy>
  <cp:lastPrinted>2002-08-07T00:00:20Z</cp:lastPrinted>
  <dcterms:created xsi:type="dcterms:W3CDTF">1997-06-23T20:51:56Z</dcterms:created>
  <dcterms:modified xsi:type="dcterms:W3CDTF">2015-07-06T02:11:15Z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965961837</vt:i4>
  </property>
  <property fmtid="{D5CDD505-2E9C-101B-9397-08002B2CF9AE}" pid="3" name="_EmailSubject">
    <vt:lpwstr>again</vt:lpwstr>
  </property>
  <property fmtid="{D5CDD505-2E9C-101B-9397-08002B2CF9AE}" pid="4" name="_AuthorEmail">
    <vt:lpwstr>jeremy.jacobsohn@intelsat.com</vt:lpwstr>
  </property>
  <property fmtid="{D5CDD505-2E9C-101B-9397-08002B2CF9AE}" pid="5" name="_AuthorEmailDisplayName">
    <vt:lpwstr>Jacobsohn, Jeremy</vt:lpwstr>
  </property>
  <property fmtid="{D5CDD505-2E9C-101B-9397-08002B2CF9AE}" pid="6" name="_ReviewingToolsShownOnce">
    <vt:lpwstr/>
  </property>
</Properties>
</file>